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5480" windowHeight="11445" activeTab="3"/>
  </bookViews>
  <sheets>
    <sheet name="прил.1 дох.и расх.по КОСГУ" sheetId="1" r:id="rId1"/>
    <sheet name="прил.2 дох." sheetId="2" r:id="rId2"/>
    <sheet name="прил.3 источн" sheetId="4" r:id="rId3"/>
    <sheet name="прил.4 по учр." sheetId="5" r:id="rId4"/>
  </sheets>
  <definedNames>
    <definedName name="_xlnm.Print_Area" localSheetId="0">'прил.1 дох.и расх.по КОСГУ'!$A$1:$G$57</definedName>
    <definedName name="_xlnm.Print_Area" localSheetId="3">'прил.4 по учр.'!$A$1:$F$47</definedName>
  </definedNames>
  <calcPr calcId="145621"/>
</workbook>
</file>

<file path=xl/calcChain.xml><?xml version="1.0" encoding="utf-8"?>
<calcChain xmlns="http://schemas.openxmlformats.org/spreadsheetml/2006/main">
  <c r="G19" i="1" l="1"/>
  <c r="G18" i="2"/>
  <c r="C18" i="2" s="1"/>
  <c r="C17" i="2" s="1"/>
  <c r="C44" i="2"/>
  <c r="C43" i="2" s="1"/>
  <c r="G51" i="2"/>
  <c r="G45" i="2"/>
  <c r="G40" i="2"/>
  <c r="G29" i="2"/>
  <c r="G28" i="2" s="1"/>
  <c r="G26" i="2"/>
  <c r="G23" i="2"/>
  <c r="G22" i="2"/>
  <c r="G30" i="1"/>
  <c r="C29" i="1"/>
  <c r="G28" i="1"/>
  <c r="G27" i="1"/>
  <c r="G26" i="1"/>
  <c r="G24" i="1" s="1"/>
  <c r="G16" i="1" s="1"/>
  <c r="G23" i="1"/>
  <c r="G22" i="1"/>
  <c r="G21" i="1"/>
  <c r="C22" i="4"/>
  <c r="C23" i="4"/>
  <c r="C24" i="4"/>
  <c r="C25" i="4"/>
  <c r="C19" i="4"/>
  <c r="C20" i="4"/>
  <c r="C18" i="4"/>
  <c r="C17" i="4"/>
  <c r="C16" i="4"/>
  <c r="C15" i="4"/>
  <c r="F30" i="1"/>
  <c r="F28" i="1"/>
  <c r="F27" i="1"/>
  <c r="F26" i="1"/>
  <c r="F29" i="2"/>
  <c r="F28" i="2" s="1"/>
  <c r="E29" i="2"/>
  <c r="E28" i="2" s="1"/>
  <c r="E22" i="1"/>
  <c r="C38" i="1"/>
  <c r="D29" i="2"/>
  <c r="D28" i="2" s="1"/>
  <c r="E28" i="1"/>
  <c r="E27" i="1"/>
  <c r="E26" i="1"/>
  <c r="E24" i="1" s="1"/>
  <c r="E16" i="1" s="1"/>
  <c r="E40" i="2"/>
  <c r="E20" i="2"/>
  <c r="E19" i="2" s="1"/>
  <c r="E16" i="2" s="1"/>
  <c r="E20" i="1"/>
  <c r="D20" i="2"/>
  <c r="D28" i="1"/>
  <c r="D27" i="1"/>
  <c r="C27" i="1" s="1"/>
  <c r="D22" i="1"/>
  <c r="D20" i="1"/>
  <c r="D46" i="2"/>
  <c r="E46" i="2"/>
  <c r="F46" i="2"/>
  <c r="C48" i="2"/>
  <c r="C49" i="2"/>
  <c r="C50" i="2"/>
  <c r="C51" i="2"/>
  <c r="G46" i="2"/>
  <c r="C41" i="2"/>
  <c r="D39" i="2"/>
  <c r="E39" i="2"/>
  <c r="F39" i="2"/>
  <c r="G39" i="2"/>
  <c r="C28" i="1"/>
  <c r="C30" i="1"/>
  <c r="F24" i="1"/>
  <c r="F16" i="1" s="1"/>
  <c r="C45" i="2"/>
  <c r="C26" i="1"/>
  <c r="C23" i="1"/>
  <c r="E17" i="2"/>
  <c r="E21" i="2"/>
  <c r="E37" i="2"/>
  <c r="E43" i="2"/>
  <c r="C47" i="2"/>
  <c r="C46" i="2"/>
  <c r="G43" i="2"/>
  <c r="F43" i="2"/>
  <c r="C40" i="2"/>
  <c r="C38" i="2"/>
  <c r="C37" i="2" s="1"/>
  <c r="G37" i="2"/>
  <c r="F37" i="2"/>
  <c r="D37" i="2"/>
  <c r="C34" i="2"/>
  <c r="C33" i="2"/>
  <c r="C32" i="2"/>
  <c r="C31" i="2"/>
  <c r="C30" i="2"/>
  <c r="C27" i="2"/>
  <c r="C26" i="2"/>
  <c r="C23" i="2"/>
  <c r="C22" i="2"/>
  <c r="C21" i="2"/>
  <c r="G21" i="2"/>
  <c r="G17" i="2"/>
  <c r="G16" i="2" s="1"/>
  <c r="F21" i="2"/>
  <c r="D21" i="2"/>
  <c r="D43" i="2"/>
  <c r="C20" i="2"/>
  <c r="C19" i="2" s="1"/>
  <c r="C29" i="2"/>
  <c r="C28" i="2" s="1"/>
  <c r="G19" i="2"/>
  <c r="F19" i="2"/>
  <c r="D19" i="2"/>
  <c r="F17" i="2"/>
  <c r="F16" i="2" s="1"/>
  <c r="D17" i="2"/>
  <c r="D16" i="2" s="1"/>
  <c r="C22" i="1"/>
  <c r="C21" i="1"/>
  <c r="C20" i="1"/>
  <c r="C19" i="1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G20" i="5" s="1"/>
  <c r="F14" i="5"/>
  <c r="E14" i="5"/>
  <c r="D14" i="5"/>
  <c r="C14" i="5"/>
  <c r="C33" i="1"/>
  <c r="D37" i="1"/>
  <c r="E37" i="1"/>
  <c r="F37" i="1"/>
  <c r="G37" i="1"/>
  <c r="C47" i="1"/>
  <c r="C34" i="1"/>
  <c r="C35" i="1"/>
  <c r="D31" i="1"/>
  <c r="D34" i="4" s="1"/>
  <c r="E31" i="1"/>
  <c r="E34" i="4"/>
  <c r="E35" i="4" s="1"/>
  <c r="F31" i="1"/>
  <c r="F34" i="4" s="1"/>
  <c r="G31" i="1"/>
  <c r="G34" i="4"/>
  <c r="G35" i="4" s="1"/>
  <c r="C39" i="1"/>
  <c r="C37" i="1" s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4" i="1"/>
  <c r="C55" i="1"/>
  <c r="D24" i="1"/>
  <c r="D16" i="1" s="1"/>
  <c r="G26" i="5"/>
  <c r="B14" i="5"/>
  <c r="C31" i="1"/>
  <c r="C39" i="2"/>
  <c r="G36" i="4"/>
  <c r="E36" i="4"/>
  <c r="E37" i="4"/>
  <c r="C17" i="1"/>
  <c r="F37" i="4" l="1"/>
  <c r="F35" i="4"/>
  <c r="F36" i="4"/>
  <c r="F30" i="4"/>
  <c r="F15" i="2"/>
  <c r="F57" i="1"/>
  <c r="F14" i="4"/>
  <c r="E30" i="4"/>
  <c r="E57" i="1"/>
  <c r="E14" i="4"/>
  <c r="E15" i="2"/>
  <c r="C16" i="2"/>
  <c r="D14" i="4"/>
  <c r="D15" i="2"/>
  <c r="D30" i="4"/>
  <c r="D57" i="1"/>
  <c r="C34" i="4"/>
  <c r="D37" i="4"/>
  <c r="D35" i="4"/>
  <c r="D36" i="4"/>
  <c r="G14" i="4"/>
  <c r="G30" i="4"/>
  <c r="G15" i="2"/>
  <c r="G57" i="1"/>
  <c r="C24" i="1"/>
  <c r="C16" i="1" s="1"/>
  <c r="G37" i="4"/>
  <c r="G31" i="4" l="1"/>
  <c r="G32" i="4"/>
  <c r="G33" i="4"/>
  <c r="E32" i="4"/>
  <c r="E31" i="4"/>
  <c r="E33" i="4"/>
  <c r="F32" i="4"/>
  <c r="F31" i="4"/>
  <c r="F33" i="4"/>
  <c r="C57" i="1"/>
  <c r="C15" i="2"/>
  <c r="C35" i="4"/>
  <c r="C37" i="4"/>
  <c r="C36" i="4"/>
  <c r="D32" i="4"/>
  <c r="D33" i="4"/>
  <c r="C30" i="4"/>
  <c r="D31" i="4"/>
  <c r="C14" i="4"/>
  <c r="C31" i="4" l="1"/>
  <c r="C32" i="4"/>
  <c r="C33" i="4"/>
</calcChain>
</file>

<file path=xl/sharedStrings.xml><?xml version="1.0" encoding="utf-8"?>
<sst xmlns="http://schemas.openxmlformats.org/spreadsheetml/2006/main" count="277" uniqueCount="256">
  <si>
    <t>(рублей)</t>
  </si>
  <si>
    <t>Код БК</t>
  </si>
  <si>
    <t>1 квартал</t>
  </si>
  <si>
    <t>2 квартал</t>
  </si>
  <si>
    <t>3 квартал</t>
  </si>
  <si>
    <t>4 квартал</t>
  </si>
  <si>
    <t>ВСЕГО -ПОСТУПЛЕНИЯ</t>
  </si>
  <si>
    <t>Налоговые и неналоговые доходы</t>
  </si>
  <si>
    <t>из них: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</si>
  <si>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</si>
  <si>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</si>
  <si>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</si>
  <si>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Доходы от использования имущества, находящегося в госуд.и муниц. собственности </t>
  </si>
  <si>
    <t>Доходы от продажи материальных и нематериальных активов</t>
  </si>
  <si>
    <t>Безвозмездные поступления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</si>
  <si>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</si>
  <si>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</si>
  <si>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ВСЕГО - ВЫПЛАТЫ</t>
  </si>
  <si>
    <t>в том числе:</t>
  </si>
  <si>
    <t>за счет средств районного бюджета</t>
  </si>
  <si>
    <t>за счет средств областного бюджета</t>
  </si>
  <si>
    <t>за счет целевых средств федерального бюджета</t>
  </si>
  <si>
    <t>СПРАВОЧНО:</t>
  </si>
  <si>
    <t>по кодам операций сектора государственного управления</t>
  </si>
  <si>
    <t>………</t>
  </si>
  <si>
    <t>КАССОВЫЙ РАЗРЫВ</t>
  </si>
  <si>
    <t xml:space="preserve">в том числе </t>
  </si>
  <si>
    <t xml:space="preserve">Заведующий финансовым отделом                                                  </t>
  </si>
  <si>
    <t>С.А.Шигарева</t>
  </si>
  <si>
    <t xml:space="preserve">                                                                  (рублей)</t>
  </si>
  <si>
    <t xml:space="preserve">Наименование </t>
  </si>
  <si>
    <t>классификации</t>
  </si>
  <si>
    <t xml:space="preserve">  Годовые   значения в соответствии  с Решением Собрания депутатов Чухломского муниципального района о бюджете района</t>
  </si>
  <si>
    <t xml:space="preserve">    2 квартал     </t>
  </si>
  <si>
    <t xml:space="preserve">    1 квартал     </t>
  </si>
  <si>
    <t xml:space="preserve">    3 квартал     </t>
  </si>
  <si>
    <t xml:space="preserve">    4 квартал     </t>
  </si>
  <si>
    <t xml:space="preserve">                      в том числе                                 </t>
  </si>
  <si>
    <t>Код бюджетной классификации</t>
  </si>
  <si>
    <t xml:space="preserve">в том числе                                 </t>
  </si>
  <si>
    <t xml:space="preserve">1 квартал     </t>
  </si>
  <si>
    <t xml:space="preserve">2 квартал     </t>
  </si>
  <si>
    <t xml:space="preserve">3 квартал     </t>
  </si>
  <si>
    <t xml:space="preserve">4 квартал     </t>
  </si>
  <si>
    <t>Предельные объемы финансирования</t>
  </si>
  <si>
    <t>Наименование ГРБС</t>
  </si>
  <si>
    <t>Итого на год</t>
  </si>
  <si>
    <t>в том числе</t>
  </si>
  <si>
    <t>Предельные объемы финансирования – Всего</t>
  </si>
  <si>
    <t>В том числе по ГРБС</t>
  </si>
  <si>
    <r>
      <t xml:space="preserve"> </t>
    </r>
    <r>
      <rPr>
        <sz val="10"/>
        <color indexed="8"/>
        <rFont val="Courier New"/>
        <family val="3"/>
        <charset val="204"/>
      </rPr>
      <t>(рублей)</t>
    </r>
  </si>
  <si>
    <t xml:space="preserve"> бюджета Чухломского муниципального района</t>
  </si>
  <si>
    <t>Заработная плата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</si>
  <si>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</si>
  <si>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</si>
  <si>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</si>
  <si>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</si>
  <si>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</si>
  <si>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</si>
  <si>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</si>
  <si>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</si>
  <si>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</si>
  <si>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</si>
  <si>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</si>
  <si>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</si>
  <si>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</si>
  <si>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</si>
  <si>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</si>
  <si>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</si>
  <si>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Прогноз поступлений доходов в бюджет Чухломского муниципального района</t>
  </si>
  <si>
    <t>Обслуживание внутренних долговых обязательств</t>
  </si>
  <si>
    <t>Источники финансирования дефицита бюджетов - всего: 
В том числе:</t>
  </si>
  <si>
    <t>Изменение остатков средств</t>
  </si>
  <si>
    <t>000 01000000000000000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</si>
  <si>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</si>
  <si>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</si>
  <si>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</si>
  <si>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</si>
  <si>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</si>
  <si>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</si>
  <si>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</si>
  <si>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</si>
  <si>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</si>
  <si>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</si>
  <si>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</si>
  <si>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</si>
  <si>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</si>
  <si>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</si>
  <si>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</si>
  <si>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</si>
  <si>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Собрание депутатов Чухломского муниципального района Костромской области</t>
  </si>
  <si>
    <t>Администрация Чухломского муниципального района Костромской области</t>
  </si>
  <si>
    <t>Ревизионная комиссия Чухломского муниципального района</t>
  </si>
  <si>
    <t>Сектор внутреннего финансового контроля</t>
  </si>
  <si>
    <t>Избирательная комиссия администрации Чухломского муниципального района Костромской области</t>
  </si>
  <si>
    <t>Отдел культуры, туризма, молодежи и спорта администрации Чухломского муниципального района Костромской области</t>
  </si>
  <si>
    <t>МКУК МБ Чухломского муниципального района</t>
  </si>
  <si>
    <t>Отдел образования администрации Чухломского муниципального района Костромской области</t>
  </si>
  <si>
    <t>Централизованная бухгалтерия</t>
  </si>
  <si>
    <t>Методический центр</t>
  </si>
  <si>
    <t>МКДОУ Чухломский детский сад "Родничок"</t>
  </si>
  <si>
    <t>МКДОУ Чухломский детский сад "Колосок"</t>
  </si>
  <si>
    <t>МКДОУ Судайский детский сад "Василек"</t>
  </si>
  <si>
    <t>МКДОУ Введенский детский сад "Дюймовочка"</t>
  </si>
  <si>
    <t>МКОУ "Детская музыкальная школа им. В.Н.Бахвалова"</t>
  </si>
  <si>
    <t>МКОУ ДОД ДДЮ "Дар"</t>
  </si>
  <si>
    <t>МКОУ ДОД Судайский Дом пионеров и школьников Чухломского муниципального района Костромской области</t>
  </si>
  <si>
    <t>МКОУ Беловская основная школа им.Н.А.Лебедева</t>
  </si>
  <si>
    <t>МКОУ Нагорская основная школа</t>
  </si>
  <si>
    <t>МКОУ Жаровская основная школа</t>
  </si>
  <si>
    <t>МКОУ Повалихинская начальная школа</t>
  </si>
  <si>
    <t>МКОУ Введенская средняя общеобразовательная школа имени В.З.Ершова</t>
  </si>
  <si>
    <t>МКОУ Тормановская основная школа</t>
  </si>
  <si>
    <t>МКОУ Турдиевская основная общеобразовательная школа</t>
  </si>
  <si>
    <t>МКОУ Федоровская начальная школа</t>
  </si>
  <si>
    <t>МКОУ Вигская средняя общеобразовательная школа</t>
  </si>
  <si>
    <t>МКОУ Чухломская средняя школа имени А.А.Яковлева</t>
  </si>
  <si>
    <t>МКОУ Судайская средняя школа</t>
  </si>
  <si>
    <t>Отдел сельского хозяйства администрации Чухломского муниципального района Костромской области</t>
  </si>
  <si>
    <t xml:space="preserve">Отдел капитального строительства и архитектуры администрации Чухломского МР </t>
  </si>
  <si>
    <t>Финансовый отдел администрации Чухломского МР</t>
  </si>
  <si>
    <t>Муниципальное казенное отраслевое учреждение Чухломского муниципального района Костромской области</t>
  </si>
  <si>
    <t>000 1 00 00000 00 0000 000</t>
  </si>
  <si>
    <t>000 1 01 02000 01 0000 110</t>
  </si>
  <si>
    <t>000 1 03 02000 01 0000 110</t>
  </si>
  <si>
    <t>000 1 05 00000 00 0000 000</t>
  </si>
  <si>
    <t>000 1 11 00000 00 0000 000</t>
  </si>
  <si>
    <t>000 1 14 00000 00 0000 000</t>
  </si>
  <si>
    <t>000 2 00 00000 00 0000 000</t>
  </si>
  <si>
    <t>000 2 02  01000 00 0000 151</t>
  </si>
  <si>
    <t>000 2 02  03000 00  0000 151</t>
  </si>
  <si>
    <t>Доходы бюджета - ИТОГО 
В том числе: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</si>
  <si>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</si>
  <si>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</si>
  <si>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</si>
  <si>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</si>
  <si>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</si>
  <si>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</si>
  <si>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</si>
  <si>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</si>
  <si>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</si>
  <si>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</si>
  <si>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</si>
  <si>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</si>
  <si>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</si>
  <si>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</si>
  <si>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</si>
  <si>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</si>
  <si>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</si>
  <si>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</si>
  <si>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</si>
  <si>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</si>
  <si>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</si>
  <si>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</si>
  <si>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</si>
  <si>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</si>
  <si>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</si>
  <si>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</si>
  <si>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</si>
  <si>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</si>
  <si>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</si>
  <si>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</si>
  <si>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</si>
  <si>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</si>
  <si>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</si>
  <si>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</si>
  <si>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</si>
  <si>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</si>
  <si>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</si>
  <si>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Доходы от сдачи в аренду имущества, составляющего казну поселений (за исключением земельных участков)</t>
  </si>
  <si>
    <t>000 11105075100000120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</si>
  <si>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</si>
  <si>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</si>
  <si>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</si>
  <si>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</si>
  <si>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</si>
  <si>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</si>
  <si>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</si>
  <si>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</si>
  <si>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</si>
  <si>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</si>
  <si>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</si>
  <si>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</si>
  <si>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</si>
  <si>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</si>
  <si>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</si>
  <si>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</si>
  <si>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</si>
  <si>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</si>
  <si>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</si>
  <si>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</si>
  <si>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Прочие поступления от денежных взысканий (штрафов) и иных сумм в возмещение ущерба</t>
  </si>
  <si>
    <t>000 11690000000000140</t>
  </si>
  <si>
    <r>
      <t xml:space="preserve">                                                                                                                                                                                                (подпись)</t>
    </r>
    <r>
      <rPr>
        <sz val="12"/>
        <color indexed="8"/>
        <rFont val="Times New Roman"/>
        <family val="1"/>
        <charset val="204"/>
      </rPr>
      <t xml:space="preserve">                               </t>
    </r>
    <r>
      <rPr>
        <sz val="8"/>
        <color indexed="8"/>
        <rFont val="Times New Roman"/>
        <family val="1"/>
        <charset val="204"/>
      </rPr>
      <t>(расшифровка подписи)</t>
    </r>
  </si>
  <si>
    <t>Приложение 1</t>
  </si>
  <si>
    <t xml:space="preserve">к Порядку составления и ведения </t>
  </si>
  <si>
    <t>кассового плана исполнения бюджета Чухломского</t>
  </si>
  <si>
    <t xml:space="preserve">муниципального района </t>
  </si>
  <si>
    <t>Приложение 2</t>
  </si>
  <si>
    <t>Приложение 3</t>
  </si>
  <si>
    <t>Приложение 4</t>
  </si>
  <si>
    <t>УТВЕРЖДЕНО</t>
  </si>
  <si>
    <t>Заведующий финансовым отделом</t>
  </si>
  <si>
    <t>администрации Чухломского МР</t>
  </si>
  <si>
    <t>______________________С.А.Шигарева</t>
  </si>
  <si>
    <t>000 2 02  02000 00 0000 151</t>
  </si>
  <si>
    <t>000 2 07  05000 00  0000 180</t>
  </si>
  <si>
    <t>Прочие безвозмездные поступления</t>
  </si>
  <si>
    <t>Субсидии  бюджетам субъектов РФ и муниципальных образований</t>
  </si>
  <si>
    <t>Доходы от компенсации затрат государства</t>
  </si>
  <si>
    <t>000 11302000000000130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</si>
  <si>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</si>
  <si>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</si>
  <si>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денежные взыскания (штрафы) за правонарушения в области дорожного движения</t>
  </si>
  <si>
    <t>000 11630030010000140</t>
  </si>
  <si>
    <t>Денежные взыскания (штрафы) за нарушение земельного законодательства</t>
  </si>
  <si>
    <t>000 11625060010000140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</si>
  <si>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</si>
  <si>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</si>
  <si>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</si>
  <si>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000 01030000000000000</t>
  </si>
  <si>
    <t>000 01030100000000000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</si>
  <si>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</si>
  <si>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</si>
  <si>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</si>
  <si>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</si>
  <si>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</si>
  <si>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</si>
  <si>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</si>
  <si>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муниципальных районов</t>
  </si>
  <si>
    <t>000 01060600000000000</t>
  </si>
  <si>
    <t>000 01060600000000700</t>
  </si>
  <si>
    <t>000 01060000000000710</t>
  </si>
  <si>
    <t xml:space="preserve">Чухломского муниципального района </t>
  </si>
  <si>
    <t xml:space="preserve">кассового плана исполнения бюджета </t>
  </si>
  <si>
    <t>Сумма на 2015 год</t>
  </si>
  <si>
    <t xml:space="preserve"> </t>
  </si>
  <si>
    <t>источники внутреннего финансирования, из них</t>
  </si>
  <si>
    <t>х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</si>
  <si>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</si>
  <si>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</si>
  <si>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</si>
  <si>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</si>
  <si>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000 01020000000000710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</si>
  <si>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</si>
  <si>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</si>
  <si>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</si>
  <si>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муниципальных районов кредитов от кредитных организаций в валюте Российской Федерации</t>
  </si>
  <si>
    <t>000 01020000000000810</t>
  </si>
  <si>
    <r>
      <t xml:space="preserve">Кассовый план </t>
    </r>
    <r>
      <rPr>
        <b/>
        <u/>
        <sz val="14"/>
        <color indexed="8"/>
        <rFont val="Calibri"/>
        <family val="2"/>
        <charset val="204"/>
      </rPr>
      <t>по состоянию на 31.12.2015 года</t>
    </r>
  </si>
  <si>
    <t>Источники финансирования дефицита бюджета Чухломского муниципального района по состоянию на 31.12.2015 года</t>
  </si>
  <si>
    <t>по состоянию на 31.12.2015 года</t>
  </si>
  <si>
    <t>000 2 02  04000 00  0000 151</t>
  </si>
  <si>
    <t>Иные межбюджетные трансферты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</si>
  <si>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</si>
  <si>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000 11105020000000120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</si>
</sst>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##,##0.00"/>
  </numFmts>
  <fonts count="4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sz val="8"/>
      <color indexed="8"/>
      <name val="Calibri"/>
      <family val="2"/>
      <charset val="204"/>
    </font>
    <font>
      <b/>
      <sz val="9"/>
      <color indexed="8"/>
      <name val="Courier New"/>
      <family val="3"/>
      <charset val="204"/>
    </font>
    <font>
      <b/>
      <sz val="9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name val="Cambria"/>
      <family val="1"/>
      <charset val="204"/>
    </font>
    <font>
      <sz val="7.5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mbria"/>
      <family val="1"/>
      <charset val="204"/>
    </font>
    <font>
      <sz val="7.5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10"/>
      <name val="Arial"/>
      <family val="2"/>
      <charset val="204"/>
    </font>
    <font>
      <b/>
      <sz val="8"/>
      <color indexed="8"/>
      <name val="Courier New"/>
      <family val="3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34" fillId="0" borderId="0"/>
    <xf numFmtId="0" fontId="36" fillId="0" borderId="0"/>
    <xf numFmtId="0" fontId="39" fillId="0" borderId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/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0" fillId="0" borderId="0" xfId="0" applyNumberFormat="1"/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17" fillId="0" borderId="19" xfId="0" applyNumberFormat="1" applyFont="1" applyBorder="1"/>
    <xf numFmtId="4" fontId="17" fillId="0" borderId="20" xfId="0" applyNumberFormat="1" applyFont="1" applyBorder="1"/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8" fillId="5" borderId="23" xfId="0" applyNumberFormat="1" applyFont="1" applyFill="1" applyBorder="1" applyAlignment="1">
      <alignment wrapText="1"/>
    </xf>
    <xf numFmtId="0" fontId="18" fillId="5" borderId="24" xfId="0" applyNumberFormat="1" applyFont="1" applyFill="1" applyBorder="1" applyAlignment="1">
      <alignment wrapText="1"/>
    </xf>
    <xf numFmtId="164" fontId="19" fillId="0" borderId="25" xfId="0" applyNumberFormat="1" applyFont="1" applyBorder="1" applyAlignment="1">
      <alignment horizontal="left" vertical="top" wrapText="1"/>
    </xf>
    <xf numFmtId="164" fontId="19" fillId="0" borderId="26" xfId="0" applyNumberFormat="1" applyFont="1" applyBorder="1" applyAlignment="1">
      <alignment horizontal="left" vertical="top" wrapText="1"/>
    </xf>
    <xf numFmtId="164" fontId="19" fillId="0" borderId="19" xfId="0" applyNumberFormat="1" applyFont="1" applyBorder="1" applyAlignment="1">
      <alignment horizontal="center" wrapText="1"/>
    </xf>
    <xf numFmtId="164" fontId="19" fillId="0" borderId="27" xfId="0" applyNumberFormat="1" applyFont="1" applyBorder="1" applyAlignment="1">
      <alignment horizontal="center" wrapText="1"/>
    </xf>
    <xf numFmtId="164" fontId="19" fillId="0" borderId="28" xfId="0" applyNumberFormat="1" applyFont="1" applyBorder="1" applyAlignment="1">
      <alignment horizontal="left" vertical="top" wrapText="1"/>
    </xf>
    <xf numFmtId="164" fontId="19" fillId="0" borderId="29" xfId="0" applyNumberFormat="1" applyFont="1" applyBorder="1" applyAlignment="1">
      <alignment horizontal="center" wrapText="1"/>
    </xf>
    <xf numFmtId="164" fontId="19" fillId="0" borderId="26" xfId="0" applyNumberFormat="1" applyFont="1" applyBorder="1" applyAlignment="1">
      <alignment horizontal="center" wrapText="1"/>
    </xf>
    <xf numFmtId="164" fontId="20" fillId="0" borderId="28" xfId="0" applyNumberFormat="1" applyFont="1" applyBorder="1" applyAlignment="1">
      <alignment horizontal="right" wrapText="1"/>
    </xf>
    <xf numFmtId="0" fontId="21" fillId="4" borderId="19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center" vertical="center" wrapText="1"/>
    </xf>
    <xf numFmtId="4" fontId="21" fillId="4" borderId="19" xfId="0" applyNumberFormat="1" applyFont="1" applyFill="1" applyBorder="1" applyAlignment="1">
      <alignment horizontal="right" vertical="center" wrapText="1"/>
    </xf>
    <xf numFmtId="0" fontId="17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 wrapText="1"/>
    </xf>
    <xf numFmtId="0" fontId="21" fillId="0" borderId="19" xfId="0" applyFont="1" applyBorder="1" applyAlignment="1">
      <alignment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justify" vertical="top" wrapText="1"/>
    </xf>
    <xf numFmtId="4" fontId="17" fillId="0" borderId="19" xfId="0" applyNumberFormat="1" applyFont="1" applyBorder="1" applyAlignment="1">
      <alignment horizontal="right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64" fontId="28" fillId="0" borderId="30" xfId="0" applyNumberFormat="1" applyFont="1" applyBorder="1" applyAlignment="1">
      <alignment horizontal="left" vertical="top" wrapText="1"/>
    </xf>
    <xf numFmtId="164" fontId="28" fillId="0" borderId="31" xfId="0" applyNumberFormat="1" applyFont="1" applyBorder="1" applyAlignment="1">
      <alignment horizontal="center" wrapText="1"/>
    </xf>
    <xf numFmtId="4" fontId="0" fillId="0" borderId="32" xfId="0" applyNumberFormat="1" applyBorder="1"/>
    <xf numFmtId="164" fontId="29" fillId="3" borderId="30" xfId="0" applyNumberFormat="1" applyFont="1" applyFill="1" applyBorder="1" applyAlignment="1">
      <alignment horizontal="left" vertical="top" wrapText="1"/>
    </xf>
    <xf numFmtId="164" fontId="30" fillId="3" borderId="33" xfId="0" applyNumberFormat="1" applyFont="1" applyFill="1" applyBorder="1" applyAlignment="1">
      <alignment horizontal="center" wrapText="1"/>
    </xf>
    <xf numFmtId="4" fontId="31" fillId="3" borderId="34" xfId="0" applyNumberFormat="1" applyFont="1" applyFill="1" applyBorder="1" applyAlignment="1">
      <alignment horizontal="right" wrapText="1"/>
    </xf>
    <xf numFmtId="4" fontId="31" fillId="3" borderId="35" xfId="0" applyNumberFormat="1" applyFont="1" applyFill="1" applyBorder="1" applyAlignment="1">
      <alignment horizontal="right" wrapText="1"/>
    </xf>
    <xf numFmtId="4" fontId="31" fillId="3" borderId="19" xfId="0" applyNumberFormat="1" applyFont="1" applyFill="1" applyBorder="1" applyAlignment="1">
      <alignment horizontal="right" wrapText="1"/>
    </xf>
    <xf numFmtId="4" fontId="31" fillId="3" borderId="20" xfId="0" applyNumberFormat="1" applyFont="1" applyFill="1" applyBorder="1" applyAlignment="1">
      <alignment horizontal="right" wrapText="1"/>
    </xf>
    <xf numFmtId="164" fontId="28" fillId="0" borderId="33" xfId="0" applyNumberFormat="1" applyFont="1" applyBorder="1" applyAlignment="1">
      <alignment horizontal="center" wrapText="1"/>
    </xf>
    <xf numFmtId="4" fontId="32" fillId="0" borderId="34" xfId="0" applyNumberFormat="1" applyFont="1" applyBorder="1" applyAlignment="1">
      <alignment horizontal="right" wrapText="1"/>
    </xf>
    <xf numFmtId="4" fontId="0" fillId="0" borderId="35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32" fillId="0" borderId="34" xfId="0" applyNumberFormat="1" applyFont="1" applyBorder="1" applyAlignment="1">
      <alignment horizontal="center" wrapText="1"/>
    </xf>
    <xf numFmtId="4" fontId="0" fillId="3" borderId="35" xfId="0" applyNumberFormat="1" applyFill="1" applyBorder="1"/>
    <xf numFmtId="4" fontId="0" fillId="3" borderId="19" xfId="0" applyNumberFormat="1" applyFill="1" applyBorder="1"/>
    <xf numFmtId="4" fontId="0" fillId="3" borderId="20" xfId="0" applyNumberFormat="1" applyFill="1" applyBorder="1"/>
    <xf numFmtId="164" fontId="33" fillId="3" borderId="30" xfId="0" applyNumberFormat="1" applyFont="1" applyFill="1" applyBorder="1" applyAlignment="1">
      <alignment horizontal="left" vertical="top" wrapText="1"/>
    </xf>
    <xf numFmtId="164" fontId="33" fillId="3" borderId="33" xfId="0" applyNumberFormat="1" applyFont="1" applyFill="1" applyBorder="1" applyAlignment="1">
      <alignment horizontal="center" wrapText="1"/>
    </xf>
    <xf numFmtId="4" fontId="32" fillId="0" borderId="36" xfId="0" applyNumberFormat="1" applyFont="1" applyBorder="1" applyAlignment="1">
      <alignment horizontal="right" wrapText="1"/>
    </xf>
    <xf numFmtId="4" fontId="0" fillId="0" borderId="3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21" fillId="0" borderId="19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/>
    <xf numFmtId="49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9" fontId="24" fillId="0" borderId="19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" fontId="17" fillId="0" borderId="0" xfId="0" applyNumberFormat="1" applyFont="1" applyBorder="1"/>
    <xf numFmtId="4" fontId="0" fillId="0" borderId="39" xfId="0" applyNumberFormat="1" applyBorder="1"/>
    <xf numFmtId="4" fontId="0" fillId="0" borderId="38" xfId="0" applyNumberFormat="1" applyBorder="1"/>
    <xf numFmtId="4" fontId="0" fillId="0" borderId="40" xfId="0" applyNumberFormat="1" applyBorder="1"/>
    <xf numFmtId="165" fontId="28" fillId="0" borderId="41" xfId="0" applyNumberFormat="1" applyFont="1" applyBorder="1" applyAlignment="1">
      <alignment horizontal="left" vertical="top" wrapText="1"/>
    </xf>
    <xf numFmtId="165" fontId="28" fillId="0" borderId="42" xfId="0" applyNumberFormat="1" applyFont="1" applyBorder="1" applyAlignment="1">
      <alignment horizontal="center" wrapText="1"/>
    </xf>
    <xf numFmtId="165" fontId="37" fillId="0" borderId="28" xfId="0" applyNumberFormat="1" applyFont="1" applyBorder="1" applyAlignment="1">
      <alignment horizontal="left" vertical="top" wrapText="1"/>
    </xf>
    <xf numFmtId="165" fontId="37" fillId="0" borderId="28" xfId="0" applyNumberFormat="1" applyFont="1" applyBorder="1" applyAlignment="1">
      <alignment horizontal="center" wrapText="1"/>
    </xf>
    <xf numFmtId="165" fontId="38" fillId="0" borderId="28" xfId="0" applyNumberFormat="1" applyFont="1" applyBorder="1" applyAlignment="1">
      <alignment horizontal="left" vertical="top" wrapText="1"/>
    </xf>
    <xf numFmtId="4" fontId="18" fillId="0" borderId="19" xfId="0" applyNumberFormat="1" applyFont="1" applyBorder="1"/>
    <xf numFmtId="4" fontId="18" fillId="0" borderId="20" xfId="0" applyNumberFormat="1" applyFont="1" applyBorder="1"/>
    <xf numFmtId="0" fontId="13" fillId="2" borderId="0" xfId="0" applyFont="1" applyFill="1" applyAlignment="1"/>
    <xf numFmtId="164" fontId="19" fillId="0" borderId="29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164" fontId="37" fillId="0" borderId="28" xfId="0" applyNumberFormat="1" applyFont="1" applyBorder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5" fillId="3" borderId="47" xfId="0" applyFont="1" applyFill="1" applyBorder="1" applyAlignment="1">
      <alignment horizontal="center" vertical="center" wrapText="1"/>
    </xf>
    <xf numFmtId="0" fontId="35" fillId="3" borderId="48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1" fillId="3" borderId="47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1" fillId="3" borderId="4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D34" sqref="D34"/>
    </sheetView>
  </sheetViews>
  <sheetFormatPr defaultRowHeight="15" x14ac:dyDescent="0.25"/>
  <cols>
    <col min="1" max="1" width="48" customWidth="1"/>
    <col min="2" max="2" width="20.42578125" style="30" customWidth="1"/>
    <col min="3" max="3" width="17.28515625" style="30" bestFit="1" customWidth="1"/>
    <col min="4" max="7" width="14" customWidth="1"/>
    <col min="8" max="8" width="15.42578125" customWidth="1"/>
  </cols>
  <sheetData>
    <row r="1" spans="1:8" x14ac:dyDescent="0.25">
      <c r="D1" t="s">
        <v>194</v>
      </c>
    </row>
    <row r="2" spans="1:8" x14ac:dyDescent="0.25">
      <c r="D2" t="s">
        <v>195</v>
      </c>
    </row>
    <row r="3" spans="1:8" x14ac:dyDescent="0.25">
      <c r="D3" t="s">
        <v>196</v>
      </c>
    </row>
    <row r="4" spans="1:8" x14ac:dyDescent="0.25">
      <c r="D4" t="s">
        <v>197</v>
      </c>
    </row>
    <row r="6" spans="1:8" x14ac:dyDescent="0.25">
      <c r="D6" t="s">
        <v>201</v>
      </c>
    </row>
    <row r="7" spans="1:8" x14ac:dyDescent="0.25">
      <c r="D7" t="s">
        <v>202</v>
      </c>
    </row>
    <row r="8" spans="1:8" x14ac:dyDescent="0.25">
      <c r="D8" t="s">
        <v>203</v>
      </c>
    </row>
    <row r="9" spans="1:8" x14ac:dyDescent="0.25">
      <c r="D9" t="s">
        <v>204</v>
      </c>
    </row>
    <row r="11" spans="1:8" ht="37.5" customHeight="1" x14ac:dyDescent="0.35">
      <c r="A11" s="121" t="s">
        <v>249</v>
      </c>
      <c r="B11" s="121"/>
      <c r="C11" s="121"/>
      <c r="D11" s="121"/>
      <c r="E11" s="121"/>
      <c r="F11" s="121"/>
      <c r="G11" s="121"/>
      <c r="H11" s="2"/>
    </row>
    <row r="12" spans="1:8" x14ac:dyDescent="0.25">
      <c r="A12" s="3"/>
      <c r="B12" s="3"/>
      <c r="C12" s="3"/>
      <c r="D12" s="3"/>
      <c r="E12" s="3"/>
      <c r="F12" s="3"/>
      <c r="G12" s="3"/>
      <c r="H12" s="2"/>
    </row>
    <row r="13" spans="1:8" ht="15.75" thickBot="1" x14ac:dyDescent="0.3">
      <c r="A13" s="125" t="s">
        <v>0</v>
      </c>
      <c r="B13" s="125"/>
      <c r="C13" s="125"/>
      <c r="D13" s="125"/>
      <c r="E13" s="125"/>
      <c r="F13" s="125"/>
      <c r="G13" s="125"/>
      <c r="H13" s="2"/>
    </row>
    <row r="14" spans="1:8" x14ac:dyDescent="0.25">
      <c r="A14" s="126"/>
      <c r="B14" s="128" t="s">
        <v>1</v>
      </c>
      <c r="C14" s="128" t="s">
        <v>235</v>
      </c>
      <c r="D14" s="122" t="s">
        <v>26</v>
      </c>
      <c r="E14" s="123"/>
      <c r="F14" s="123"/>
      <c r="G14" s="124"/>
      <c r="H14" s="2"/>
    </row>
    <row r="15" spans="1:8" ht="27.75" customHeight="1" thickBot="1" x14ac:dyDescent="0.3">
      <c r="A15" s="127"/>
      <c r="B15" s="129"/>
      <c r="C15" s="129"/>
      <c r="D15" s="22" t="s">
        <v>2</v>
      </c>
      <c r="E15" s="22" t="s">
        <v>3</v>
      </c>
      <c r="F15" s="22" t="s">
        <v>4</v>
      </c>
      <c r="G15" s="23" t="s">
        <v>5</v>
      </c>
      <c r="H15" s="2"/>
    </row>
    <row r="16" spans="1:8" x14ac:dyDescent="0.25">
      <c r="A16" s="21" t="s">
        <v>6</v>
      </c>
      <c r="B16" s="29"/>
      <c r="C16" s="75">
        <f>C17+C24</f>
        <v>227275844</v>
      </c>
      <c r="D16" s="75">
        <f>D17+D24</f>
        <v>35125858</v>
      </c>
      <c r="E16" s="75">
        <f>E17+E24</f>
        <v>68296145</v>
      </c>
      <c r="F16" s="75">
        <f>F17+F24</f>
        <v>75791675</v>
      </c>
      <c r="G16" s="75">
        <f>G17+G24</f>
        <v>48062166</v>
      </c>
      <c r="H16" s="2"/>
    </row>
    <row r="17" spans="1:8" x14ac:dyDescent="0.25">
      <c r="A17" s="69" t="s">
        <v>7</v>
      </c>
      <c r="B17" s="102" t="s">
        <v>122</v>
      </c>
      <c r="C17" s="70">
        <f>D17+E17+F17+G17</f>
        <v>39500400</v>
      </c>
      <c r="D17" s="70">
        <v>9776498</v>
      </c>
      <c r="E17" s="70">
        <v>9908552</v>
      </c>
      <c r="F17" s="100">
        <v>9585200</v>
      </c>
      <c r="G17" s="100">
        <v>10230150</v>
      </c>
      <c r="H17" s="2"/>
    </row>
    <row r="18" spans="1:8" x14ac:dyDescent="0.25">
      <c r="A18" s="71" t="s">
        <v>8</v>
      </c>
      <c r="B18" s="72"/>
      <c r="C18" s="73"/>
      <c r="D18" s="73"/>
      <c r="E18" s="73"/>
      <c r="F18" s="73"/>
      <c r="G18" s="73"/>
      <c r="H18" s="2"/>
    </row>
    <row r="19" spans="1:8" x14ac:dyDescent="0.25">
      <c r="A19" s="71" t="s">
        <v>9</v>
      </c>
      <c r="B19" s="102" t="s">
        <v>123</v>
      </c>
      <c r="C19" s="73">
        <f t="shared" ref="C19:C24" si="0">D19+E19+F19+G19</f>
        <v>10025000</v>
      </c>
      <c r="D19" s="73">
        <v>2131000</v>
      </c>
      <c r="E19" s="73">
        <v>2638000</v>
      </c>
      <c r="F19" s="73">
        <v>2541000</v>
      </c>
      <c r="G19" s="73">
        <f>2840000-125000</f>
        <v>2715000</v>
      </c>
      <c r="H19" s="2"/>
    </row>
    <row r="20" spans="1:8" ht="25.5" x14ac:dyDescent="0.25">
      <c r="A20" s="71" t="s">
        <v>10</v>
      </c>
      <c r="B20" s="103" t="s">
        <v>124</v>
      </c>
      <c r="C20" s="73">
        <f t="shared" si="0"/>
        <v>2972000</v>
      </c>
      <c r="D20" s="73">
        <f>743000+300748</f>
        <v>1043748</v>
      </c>
      <c r="E20" s="73">
        <f>743000-300748</f>
        <v>442252</v>
      </c>
      <c r="F20" s="73">
        <v>743000</v>
      </c>
      <c r="G20" s="73">
        <v>743000</v>
      </c>
      <c r="H20" s="2"/>
    </row>
    <row r="21" spans="1:8" x14ac:dyDescent="0.25">
      <c r="A21" s="71" t="s">
        <v>11</v>
      </c>
      <c r="B21" s="104" t="s">
        <v>125</v>
      </c>
      <c r="C21" s="73">
        <f t="shared" si="0"/>
        <v>12302000</v>
      </c>
      <c r="D21" s="73">
        <v>2850000</v>
      </c>
      <c r="E21" s="73">
        <v>2675000</v>
      </c>
      <c r="F21" s="73">
        <v>3100000</v>
      </c>
      <c r="G21" s="73">
        <f>3075000+602000</f>
        <v>3677000</v>
      </c>
      <c r="H21" s="2"/>
    </row>
    <row r="22" spans="1:8" ht="25.5" x14ac:dyDescent="0.25">
      <c r="A22" s="71" t="s">
        <v>12</v>
      </c>
      <c r="B22" s="104" t="s">
        <v>126</v>
      </c>
      <c r="C22" s="73">
        <f t="shared" si="0"/>
        <v>6308500</v>
      </c>
      <c r="D22" s="73">
        <f>1113000+1624000</f>
        <v>2737000</v>
      </c>
      <c r="E22" s="73">
        <f>1562500-1083000+541000</f>
        <v>1020500</v>
      </c>
      <c r="F22" s="73">
        <v>1545500</v>
      </c>
      <c r="G22" s="73">
        <f>1059000+542000-595500</f>
        <v>1005500</v>
      </c>
      <c r="H22" s="2"/>
    </row>
    <row r="23" spans="1:8" ht="25.5" x14ac:dyDescent="0.25">
      <c r="A23" s="71" t="s">
        <v>13</v>
      </c>
      <c r="B23" s="105" t="s">
        <v>127</v>
      </c>
      <c r="C23" s="73">
        <f t="shared" si="0"/>
        <v>110000</v>
      </c>
      <c r="D23" s="73">
        <v>25000</v>
      </c>
      <c r="E23" s="73">
        <v>25000</v>
      </c>
      <c r="F23" s="73">
        <v>25000</v>
      </c>
      <c r="G23" s="73">
        <f>25000+10000</f>
        <v>35000</v>
      </c>
      <c r="H23" s="2" t="s">
        <v>236</v>
      </c>
    </row>
    <row r="24" spans="1:8" x14ac:dyDescent="0.25">
      <c r="A24" s="69" t="s">
        <v>14</v>
      </c>
      <c r="B24" s="104" t="s">
        <v>128</v>
      </c>
      <c r="C24" s="70">
        <f t="shared" si="0"/>
        <v>187775444</v>
      </c>
      <c r="D24" s="100">
        <f>SUM(D26:D30)</f>
        <v>25349360</v>
      </c>
      <c r="E24" s="100">
        <f>SUM(E26:E30)</f>
        <v>58387593</v>
      </c>
      <c r="F24" s="100">
        <f>SUM(F26:F30)</f>
        <v>66206475</v>
      </c>
      <c r="G24" s="100">
        <f>SUM(G26:G30)</f>
        <v>37832016</v>
      </c>
      <c r="H24" s="2"/>
    </row>
    <row r="25" spans="1:8" x14ac:dyDescent="0.25">
      <c r="A25" s="71" t="s">
        <v>8</v>
      </c>
      <c r="B25" s="74"/>
      <c r="C25" s="73"/>
      <c r="D25" s="73"/>
      <c r="E25" s="73"/>
      <c r="F25" s="73"/>
      <c r="G25" s="73"/>
      <c r="H25" s="2"/>
    </row>
    <row r="26" spans="1:8" ht="25.5" x14ac:dyDescent="0.25">
      <c r="A26" s="71" t="s">
        <v>15</v>
      </c>
      <c r="B26" s="104" t="s">
        <v>129</v>
      </c>
      <c r="C26" s="73">
        <f>SUM(D26:G26)</f>
        <v>80520700</v>
      </c>
      <c r="D26" s="73">
        <v>9009750</v>
      </c>
      <c r="E26" s="73">
        <f>9009750+15525500</f>
        <v>24535250</v>
      </c>
      <c r="F26" s="73">
        <f>9009750-7762750+21501800-7259100</f>
        <v>15489700</v>
      </c>
      <c r="G26" s="73">
        <f>9009750-7762750+7259100+22979900</f>
        <v>31486000</v>
      </c>
      <c r="H26" s="2"/>
    </row>
    <row r="27" spans="1:8" ht="25.5" x14ac:dyDescent="0.25">
      <c r="A27" s="71" t="s">
        <v>208</v>
      </c>
      <c r="B27" s="104" t="s">
        <v>205</v>
      </c>
      <c r="C27" s="73">
        <f>SUM(D27:G27)</f>
        <v>47911094</v>
      </c>
      <c r="D27" s="73">
        <f>384175+481500</f>
        <v>865675</v>
      </c>
      <c r="E27" s="73">
        <f>384175+1323450</f>
        <v>1707625</v>
      </c>
      <c r="F27" s="73">
        <f>384175+21418825+1175400+13230114</f>
        <v>36208514</v>
      </c>
      <c r="G27" s="73">
        <f>384175+21418825-13230114+556394</f>
        <v>9129280</v>
      </c>
      <c r="H27" s="2"/>
    </row>
    <row r="28" spans="1:8" ht="25.5" x14ac:dyDescent="0.25">
      <c r="A28" s="71" t="s">
        <v>16</v>
      </c>
      <c r="B28" s="104" t="s">
        <v>130</v>
      </c>
      <c r="C28" s="73">
        <f>SUM(D28:G28)</f>
        <v>58193300</v>
      </c>
      <c r="D28" s="73">
        <f>13498035-475900</f>
        <v>13022135</v>
      </c>
      <c r="E28" s="73">
        <f>13498035+18646683</f>
        <v>32144718</v>
      </c>
      <c r="F28" s="73">
        <f>13498035-9323341.5+4740800+3274767.5</f>
        <v>12190261</v>
      </c>
      <c r="G28" s="73">
        <f>13498035-9323341.5-3274767.5-63740</f>
        <v>836186</v>
      </c>
      <c r="H28" s="2"/>
    </row>
    <row r="29" spans="1:8" x14ac:dyDescent="0.25">
      <c r="A29" s="71" t="s">
        <v>253</v>
      </c>
      <c r="B29" s="104" t="s">
        <v>252</v>
      </c>
      <c r="C29" s="73">
        <f>SUM(D29:G29)</f>
        <v>6500</v>
      </c>
      <c r="D29" s="73"/>
      <c r="E29" s="73"/>
      <c r="F29" s="73"/>
      <c r="G29" s="73">
        <v>6500</v>
      </c>
      <c r="H29" s="2"/>
    </row>
    <row r="30" spans="1:8" x14ac:dyDescent="0.25">
      <c r="A30" s="71" t="s">
        <v>207</v>
      </c>
      <c r="B30" s="104" t="s">
        <v>206</v>
      </c>
      <c r="C30" s="73">
        <f>SUM(D30:G30)</f>
        <v>1143850</v>
      </c>
      <c r="D30" s="73">
        <v>2451800</v>
      </c>
      <c r="E30" s="73"/>
      <c r="F30" s="73">
        <f>7426119-842400-4265719</f>
        <v>2318000</v>
      </c>
      <c r="G30" s="73">
        <f>7426119+842400+842400+4265719-17002588</f>
        <v>-3625950</v>
      </c>
      <c r="H30" s="2"/>
    </row>
    <row r="31" spans="1:8" x14ac:dyDescent="0.25">
      <c r="A31" s="54" t="s">
        <v>17</v>
      </c>
      <c r="B31" s="55"/>
      <c r="C31" s="56">
        <f>SUM(C33:C35)</f>
        <v>230129500.31999999</v>
      </c>
      <c r="D31" s="57">
        <f>SUM(D33:D35)</f>
        <v>60512820</v>
      </c>
      <c r="E31" s="57">
        <f>SUM(E33:E35)</f>
        <v>56730399</v>
      </c>
      <c r="F31" s="57">
        <f>SUM(F33:F35)</f>
        <v>75207800.560000002</v>
      </c>
      <c r="G31" s="57">
        <f>SUM(G33:G35)</f>
        <v>37678480.759999998</v>
      </c>
      <c r="H31" s="2"/>
    </row>
    <row r="32" spans="1:8" x14ac:dyDescent="0.25">
      <c r="A32" s="58" t="s">
        <v>18</v>
      </c>
      <c r="B32" s="59"/>
      <c r="C32" s="59"/>
      <c r="D32" s="60"/>
      <c r="E32" s="60"/>
      <c r="F32" s="60"/>
      <c r="G32" s="60"/>
      <c r="H32" s="2"/>
    </row>
    <row r="33" spans="1:8" x14ac:dyDescent="0.25">
      <c r="A33" s="61" t="s">
        <v>19</v>
      </c>
      <c r="B33" s="59"/>
      <c r="C33" s="62">
        <f>SUM(D33:G33)</f>
        <v>123489371.31999999</v>
      </c>
      <c r="D33" s="63">
        <v>38205036</v>
      </c>
      <c r="E33" s="63">
        <v>29332327</v>
      </c>
      <c r="F33" s="63">
        <v>38715676.640000001</v>
      </c>
      <c r="G33" s="63">
        <v>17236331.68</v>
      </c>
      <c r="H33" s="2"/>
    </row>
    <row r="34" spans="1:8" x14ac:dyDescent="0.25">
      <c r="A34" s="61" t="s">
        <v>20</v>
      </c>
      <c r="B34" s="64"/>
      <c r="C34" s="62">
        <f>SUM(D34:G34)</f>
        <v>69487510</v>
      </c>
      <c r="D34" s="63">
        <v>22296034</v>
      </c>
      <c r="E34" s="63">
        <v>25892472</v>
      </c>
      <c r="F34" s="63">
        <v>16303345.92</v>
      </c>
      <c r="G34" s="63">
        <v>4995658.08</v>
      </c>
      <c r="H34" s="2"/>
    </row>
    <row r="35" spans="1:8" x14ac:dyDescent="0.25">
      <c r="A35" s="61" t="s">
        <v>21</v>
      </c>
      <c r="B35" s="64"/>
      <c r="C35" s="62">
        <f>SUM(D35:G35)</f>
        <v>37152619</v>
      </c>
      <c r="D35" s="63">
        <v>11750</v>
      </c>
      <c r="E35" s="63">
        <v>1505600</v>
      </c>
      <c r="F35" s="63">
        <v>20188778</v>
      </c>
      <c r="G35" s="63">
        <v>15446491</v>
      </c>
      <c r="H35" s="2"/>
    </row>
    <row r="36" spans="1:8" x14ac:dyDescent="0.25">
      <c r="A36" s="58" t="s">
        <v>22</v>
      </c>
      <c r="B36" s="59"/>
      <c r="C36" s="59"/>
      <c r="D36" s="60"/>
      <c r="E36" s="60"/>
      <c r="F36" s="60"/>
      <c r="G36" s="60"/>
      <c r="H36" s="2"/>
    </row>
    <row r="37" spans="1:8" ht="25.5" x14ac:dyDescent="0.25">
      <c r="A37" s="58" t="s">
        <v>23</v>
      </c>
      <c r="B37" s="59"/>
      <c r="C37" s="65">
        <f>SUM(C38:C55)</f>
        <v>230129500.31999999</v>
      </c>
      <c r="D37" s="65">
        <f>SUM(D38:D55)</f>
        <v>60512820</v>
      </c>
      <c r="E37" s="65">
        <f>SUM(E38:E55)</f>
        <v>56730399</v>
      </c>
      <c r="F37" s="65">
        <f>SUM(F38:F55)</f>
        <v>75207800.560000002</v>
      </c>
      <c r="G37" s="65">
        <f>SUM(G38:G55)</f>
        <v>37678480.760000005</v>
      </c>
      <c r="H37" s="2"/>
    </row>
    <row r="38" spans="1:8" x14ac:dyDescent="0.25">
      <c r="A38" s="66" t="s">
        <v>52</v>
      </c>
      <c r="B38" s="59">
        <v>211</v>
      </c>
      <c r="C38" s="65">
        <f>SUM(D38:G38)</f>
        <v>96962790.25</v>
      </c>
      <c r="D38" s="67">
        <v>27779270</v>
      </c>
      <c r="E38" s="67">
        <v>30698393</v>
      </c>
      <c r="F38" s="67">
        <v>22253471.809999999</v>
      </c>
      <c r="G38" s="67">
        <v>16231655.439999999</v>
      </c>
      <c r="H38" s="2"/>
    </row>
    <row r="39" spans="1:8" x14ac:dyDescent="0.25">
      <c r="A39" s="66" t="s">
        <v>53</v>
      </c>
      <c r="B39" s="59">
        <v>212</v>
      </c>
      <c r="C39" s="65">
        <f t="shared" ref="C39:C55" si="1">SUM(D39:G39)</f>
        <v>132629</v>
      </c>
      <c r="D39" s="67">
        <v>49065</v>
      </c>
      <c r="E39" s="67">
        <v>74892</v>
      </c>
      <c r="F39" s="67">
        <v>62198</v>
      </c>
      <c r="G39" s="67">
        <v>-53526</v>
      </c>
      <c r="H39" s="2"/>
    </row>
    <row r="40" spans="1:8" x14ac:dyDescent="0.25">
      <c r="A40" s="66" t="s">
        <v>54</v>
      </c>
      <c r="B40" s="59">
        <v>213</v>
      </c>
      <c r="C40" s="65">
        <f t="shared" si="1"/>
        <v>28213912.369999997</v>
      </c>
      <c r="D40" s="67">
        <v>8791740</v>
      </c>
      <c r="E40" s="67">
        <v>7792031</v>
      </c>
      <c r="F40" s="67">
        <v>8293619.1100000003</v>
      </c>
      <c r="G40" s="67">
        <v>3336522.26</v>
      </c>
      <c r="H40" s="2"/>
    </row>
    <row r="41" spans="1:8" x14ac:dyDescent="0.25">
      <c r="A41" s="66" t="s">
        <v>55</v>
      </c>
      <c r="B41" s="59">
        <v>221</v>
      </c>
      <c r="C41" s="65">
        <f t="shared" si="1"/>
        <v>1166416.69</v>
      </c>
      <c r="D41" s="67">
        <v>301330</v>
      </c>
      <c r="E41" s="67">
        <v>392150</v>
      </c>
      <c r="F41" s="67">
        <v>276286.87</v>
      </c>
      <c r="G41" s="67">
        <v>196649.82</v>
      </c>
      <c r="H41" s="2"/>
    </row>
    <row r="42" spans="1:8" x14ac:dyDescent="0.25">
      <c r="A42" s="66" t="s">
        <v>56</v>
      </c>
      <c r="B42" s="59">
        <v>222</v>
      </c>
      <c r="C42" s="65">
        <f t="shared" si="1"/>
        <v>199120.93</v>
      </c>
      <c r="D42" s="67">
        <v>80460</v>
      </c>
      <c r="E42" s="67">
        <v>90570</v>
      </c>
      <c r="F42" s="67">
        <v>44030</v>
      </c>
      <c r="G42" s="67">
        <v>-15939.07</v>
      </c>
      <c r="H42" s="2"/>
    </row>
    <row r="43" spans="1:8" x14ac:dyDescent="0.25">
      <c r="A43" s="66" t="s">
        <v>57</v>
      </c>
      <c r="B43" s="59">
        <v>223</v>
      </c>
      <c r="C43" s="65">
        <f t="shared" si="1"/>
        <v>4610480</v>
      </c>
      <c r="D43" s="67">
        <v>1620071</v>
      </c>
      <c r="E43" s="67">
        <v>1454630</v>
      </c>
      <c r="F43" s="67">
        <v>1131270.45</v>
      </c>
      <c r="G43" s="67">
        <v>404508.55</v>
      </c>
      <c r="H43" s="2"/>
    </row>
    <row r="44" spans="1:8" x14ac:dyDescent="0.25">
      <c r="A44" s="66" t="s">
        <v>58</v>
      </c>
      <c r="B44" s="59">
        <v>224</v>
      </c>
      <c r="C44" s="65">
        <f t="shared" si="1"/>
        <v>326700</v>
      </c>
      <c r="D44" s="67">
        <v>88844</v>
      </c>
      <c r="E44" s="67">
        <v>657700</v>
      </c>
      <c r="F44" s="67">
        <v>81500</v>
      </c>
      <c r="G44" s="67">
        <v>-501344</v>
      </c>
      <c r="H44" s="2"/>
    </row>
    <row r="45" spans="1:8" x14ac:dyDescent="0.25">
      <c r="A45" s="66" t="s">
        <v>59</v>
      </c>
      <c r="B45" s="59">
        <v>225</v>
      </c>
      <c r="C45" s="65">
        <f t="shared" si="1"/>
        <v>7844988.1100000003</v>
      </c>
      <c r="D45" s="67">
        <v>3940384</v>
      </c>
      <c r="E45" s="67">
        <v>3139452</v>
      </c>
      <c r="F45" s="67">
        <v>2118401.83</v>
      </c>
      <c r="G45" s="67">
        <v>-1353249.72</v>
      </c>
      <c r="H45" s="2"/>
    </row>
    <row r="46" spans="1:8" x14ac:dyDescent="0.25">
      <c r="A46" s="66" t="s">
        <v>60</v>
      </c>
      <c r="B46" s="59">
        <v>226</v>
      </c>
      <c r="C46" s="65">
        <f t="shared" si="1"/>
        <v>4385084.5</v>
      </c>
      <c r="D46" s="67">
        <v>1502890</v>
      </c>
      <c r="E46" s="67">
        <v>1116286</v>
      </c>
      <c r="F46" s="67">
        <v>1801207</v>
      </c>
      <c r="G46" s="67">
        <v>-35298.5</v>
      </c>
      <c r="H46" s="2"/>
    </row>
    <row r="47" spans="1:8" x14ac:dyDescent="0.25">
      <c r="A47" s="66" t="s">
        <v>70</v>
      </c>
      <c r="B47" s="59">
        <v>231</v>
      </c>
      <c r="C47" s="65">
        <f t="shared" si="1"/>
        <v>15000</v>
      </c>
      <c r="D47" s="67">
        <v>12500</v>
      </c>
      <c r="E47" s="67">
        <v>12500</v>
      </c>
      <c r="F47" s="67">
        <v>12500</v>
      </c>
      <c r="G47" s="67">
        <v>-22500</v>
      </c>
      <c r="H47" s="2"/>
    </row>
    <row r="48" spans="1:8" ht="25.5" x14ac:dyDescent="0.25">
      <c r="A48" s="66" t="s">
        <v>61</v>
      </c>
      <c r="B48" s="59">
        <v>241</v>
      </c>
      <c r="C48" s="65">
        <f t="shared" si="1"/>
        <v>2464136.5</v>
      </c>
      <c r="D48" s="67">
        <v>800000</v>
      </c>
      <c r="E48" s="67">
        <v>433813</v>
      </c>
      <c r="F48" s="67">
        <v>766187</v>
      </c>
      <c r="G48" s="67">
        <v>464136.5</v>
      </c>
      <c r="H48" s="2"/>
    </row>
    <row r="49" spans="1:8" ht="38.25" x14ac:dyDescent="0.25">
      <c r="A49" s="66" t="s">
        <v>62</v>
      </c>
      <c r="B49" s="59">
        <v>242</v>
      </c>
      <c r="C49" s="65">
        <f t="shared" si="1"/>
        <v>195000</v>
      </c>
      <c r="D49" s="67">
        <v>40750</v>
      </c>
      <c r="E49" s="67">
        <v>87750</v>
      </c>
      <c r="F49" s="67">
        <v>35750</v>
      </c>
      <c r="G49" s="67">
        <v>30750</v>
      </c>
      <c r="H49" s="2"/>
    </row>
    <row r="50" spans="1:8" ht="25.5" x14ac:dyDescent="0.25">
      <c r="A50" s="66" t="s">
        <v>63</v>
      </c>
      <c r="B50" s="59">
        <v>251</v>
      </c>
      <c r="C50" s="65">
        <f t="shared" si="1"/>
        <v>11378289</v>
      </c>
      <c r="D50" s="67">
        <v>4104325</v>
      </c>
      <c r="E50" s="67">
        <v>1861489</v>
      </c>
      <c r="F50" s="67">
        <v>5291975</v>
      </c>
      <c r="G50" s="67">
        <v>120500</v>
      </c>
      <c r="H50" s="2"/>
    </row>
    <row r="51" spans="1:8" x14ac:dyDescent="0.25">
      <c r="A51" s="66" t="s">
        <v>64</v>
      </c>
      <c r="B51" s="59">
        <v>262</v>
      </c>
      <c r="C51" s="65">
        <f t="shared" si="1"/>
        <v>3287657</v>
      </c>
      <c r="D51" s="67">
        <v>275400</v>
      </c>
      <c r="E51" s="67">
        <v>1083710</v>
      </c>
      <c r="F51" s="67">
        <v>840763</v>
      </c>
      <c r="G51" s="67">
        <v>1087784</v>
      </c>
      <c r="H51" s="2"/>
    </row>
    <row r="52" spans="1:8" ht="38.25" x14ac:dyDescent="0.25">
      <c r="A52" s="66" t="s">
        <v>65</v>
      </c>
      <c r="B52" s="59">
        <v>263</v>
      </c>
      <c r="C52" s="65">
        <f t="shared" si="1"/>
        <v>82116.070000000007</v>
      </c>
      <c r="D52" s="67">
        <v>25000</v>
      </c>
      <c r="E52" s="67">
        <v>25000</v>
      </c>
      <c r="F52" s="67">
        <v>20000</v>
      </c>
      <c r="G52" s="67">
        <v>12116.07</v>
      </c>
      <c r="H52" s="2"/>
    </row>
    <row r="53" spans="1:8" x14ac:dyDescent="0.25">
      <c r="A53" s="66" t="s">
        <v>66</v>
      </c>
      <c r="B53" s="59">
        <v>290</v>
      </c>
      <c r="C53" s="65">
        <f t="shared" si="1"/>
        <v>2784925.29</v>
      </c>
      <c r="D53" s="67">
        <v>839101</v>
      </c>
      <c r="E53" s="67">
        <v>976063</v>
      </c>
      <c r="F53" s="67">
        <v>793843.49</v>
      </c>
      <c r="G53" s="67">
        <v>175917.8</v>
      </c>
      <c r="H53" s="2"/>
    </row>
    <row r="54" spans="1:8" x14ac:dyDescent="0.25">
      <c r="A54" s="66" t="s">
        <v>67</v>
      </c>
      <c r="B54" s="59">
        <v>310</v>
      </c>
      <c r="C54" s="65">
        <f t="shared" si="1"/>
        <v>44424583</v>
      </c>
      <c r="D54" s="67">
        <v>1130500</v>
      </c>
      <c r="E54" s="67">
        <v>1119290</v>
      </c>
      <c r="F54" s="67">
        <v>26619228</v>
      </c>
      <c r="G54" s="67">
        <v>15555565</v>
      </c>
      <c r="H54" s="2"/>
    </row>
    <row r="55" spans="1:8" x14ac:dyDescent="0.25">
      <c r="A55" s="66" t="s">
        <v>68</v>
      </c>
      <c r="B55" s="59">
        <v>340</v>
      </c>
      <c r="C55" s="65">
        <f t="shared" si="1"/>
        <v>21655671.609999999</v>
      </c>
      <c r="D55" s="67">
        <v>9131190</v>
      </c>
      <c r="E55" s="67">
        <v>5714680</v>
      </c>
      <c r="F55" s="67">
        <v>4765569</v>
      </c>
      <c r="G55" s="67">
        <v>2044232.61</v>
      </c>
      <c r="H55" s="2"/>
    </row>
    <row r="56" spans="1:8" x14ac:dyDescent="0.25">
      <c r="A56" s="58" t="s">
        <v>24</v>
      </c>
      <c r="B56" s="59"/>
      <c r="C56" s="59"/>
      <c r="D56" s="60"/>
      <c r="E56" s="60"/>
      <c r="F56" s="60"/>
      <c r="G56" s="60"/>
      <c r="H56" s="2"/>
    </row>
    <row r="57" spans="1:8" x14ac:dyDescent="0.25">
      <c r="A57" s="54" t="s">
        <v>25</v>
      </c>
      <c r="B57" s="55"/>
      <c r="C57" s="68">
        <f>C16-C31</f>
        <v>-2853656.3199999928</v>
      </c>
      <c r="D57" s="68">
        <f>D16-D31</f>
        <v>-25386962</v>
      </c>
      <c r="E57" s="68">
        <f>E16-E31</f>
        <v>11565746</v>
      </c>
      <c r="F57" s="68">
        <f>F16-F31</f>
        <v>583874.43999999762</v>
      </c>
      <c r="G57" s="68">
        <f>G16-G31</f>
        <v>10383685.240000002</v>
      </c>
      <c r="H57" s="2"/>
    </row>
    <row r="58" spans="1:8" ht="15.75" x14ac:dyDescent="0.25">
      <c r="A58" s="2"/>
      <c r="B58" s="3"/>
      <c r="C58" s="3"/>
      <c r="D58" s="2"/>
      <c r="E58" s="2"/>
      <c r="F58" s="2"/>
      <c r="G58" s="2"/>
      <c r="H58" s="1"/>
    </row>
    <row r="59" spans="1:8" x14ac:dyDescent="0.25">
      <c r="A59" s="4"/>
    </row>
    <row r="60" spans="1:8" ht="15.75" hidden="1" x14ac:dyDescent="0.25">
      <c r="A60" s="5" t="s">
        <v>27</v>
      </c>
      <c r="C60" s="31" t="s">
        <v>28</v>
      </c>
    </row>
    <row r="61" spans="1:8" ht="15.75" hidden="1" x14ac:dyDescent="0.25">
      <c r="A61" s="6" t="s">
        <v>193</v>
      </c>
    </row>
    <row r="62" spans="1:8" hidden="1" x14ac:dyDescent="0.25"/>
  </sheetData>
  <mergeCells count="6">
    <mergeCell ref="A11:G11"/>
    <mergeCell ref="D14:G14"/>
    <mergeCell ref="A13:G13"/>
    <mergeCell ref="A14:A15"/>
    <mergeCell ref="B14:B15"/>
    <mergeCell ref="C14:C15"/>
  </mergeCells>
  <phoneticPr fontId="0" type="noConversion"/>
  <pageMargins left="0.51181102362204722" right="0.11811023622047245" top="0.74803149606299213" bottom="0.74803149606299213" header="0.31496062992125984" footer="0.31496062992125984"/>
  <pageSetup paperSize="9" scale="6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workbookViewId="0">
      <selection activeCell="B9" sqref="B9"/>
    </sheetView>
  </sheetViews>
  <sheetFormatPr defaultRowHeight="15" x14ac:dyDescent="0.25"/>
  <cols>
    <col min="1" max="1" width="69.42578125" customWidth="1"/>
    <col min="2" max="2" width="21.85546875" customWidth="1"/>
    <col min="3" max="3" width="17.5703125" customWidth="1"/>
    <col min="4" max="7" width="13.85546875" customWidth="1"/>
  </cols>
  <sheetData>
    <row r="2" spans="1:7" x14ac:dyDescent="0.25">
      <c r="D2" t="s">
        <v>198</v>
      </c>
    </row>
    <row r="3" spans="1:7" x14ac:dyDescent="0.25">
      <c r="D3" t="s">
        <v>195</v>
      </c>
    </row>
    <row r="4" spans="1:7" x14ac:dyDescent="0.25">
      <c r="D4" t="s">
        <v>196</v>
      </c>
    </row>
    <row r="5" spans="1:7" x14ac:dyDescent="0.25">
      <c r="D5" t="s">
        <v>197</v>
      </c>
    </row>
    <row r="7" spans="1:7" ht="18.75" x14ac:dyDescent="0.25">
      <c r="A7" s="135"/>
      <c r="B7" s="135"/>
      <c r="C7" s="135"/>
      <c r="D7" s="135"/>
      <c r="E7" s="135"/>
      <c r="F7" s="135"/>
      <c r="G7" s="135"/>
    </row>
    <row r="8" spans="1:7" ht="23.25" x14ac:dyDescent="0.35">
      <c r="A8" s="121" t="s">
        <v>69</v>
      </c>
      <c r="B8" s="121"/>
      <c r="C8" s="121"/>
      <c r="D8" s="121"/>
      <c r="E8" s="121"/>
      <c r="F8" s="121"/>
      <c r="G8" s="121"/>
    </row>
    <row r="9" spans="1:7" ht="18.75" x14ac:dyDescent="0.3">
      <c r="A9" s="11"/>
      <c r="B9" s="117" t="s">
        <v>251</v>
      </c>
      <c r="C9" s="117"/>
      <c r="D9" s="117"/>
      <c r="E9" s="117"/>
      <c r="F9" s="117"/>
      <c r="G9" s="117"/>
    </row>
    <row r="10" spans="1:7" ht="18.75" x14ac:dyDescent="0.25">
      <c r="A10" s="7"/>
    </row>
    <row r="11" spans="1:7" ht="15.75" thickBot="1" x14ac:dyDescent="0.3">
      <c r="A11" s="8"/>
      <c r="G11" s="8" t="s">
        <v>29</v>
      </c>
    </row>
    <row r="12" spans="1:7" ht="15.75" thickBot="1" x14ac:dyDescent="0.3">
      <c r="A12" s="12" t="s">
        <v>30</v>
      </c>
      <c r="B12" s="136" t="s">
        <v>38</v>
      </c>
      <c r="C12" s="130" t="s">
        <v>32</v>
      </c>
      <c r="D12" s="132" t="s">
        <v>39</v>
      </c>
      <c r="E12" s="133"/>
      <c r="F12" s="133"/>
      <c r="G12" s="134"/>
    </row>
    <row r="13" spans="1:7" ht="93.75" customHeight="1" x14ac:dyDescent="0.25">
      <c r="A13" s="14" t="s">
        <v>31</v>
      </c>
      <c r="B13" s="137"/>
      <c r="C13" s="131"/>
      <c r="D13" s="24" t="s">
        <v>40</v>
      </c>
      <c r="E13" s="24" t="s">
        <v>41</v>
      </c>
      <c r="F13" s="24" t="s">
        <v>42</v>
      </c>
      <c r="G13" s="25" t="s">
        <v>43</v>
      </c>
    </row>
    <row r="14" spans="1:7" ht="15.75" thickBot="1" x14ac:dyDescent="0.3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20">
        <v>7</v>
      </c>
    </row>
    <row r="15" spans="1:7" s="9" customFormat="1" ht="21" x14ac:dyDescent="0.25">
      <c r="A15" s="76" t="s">
        <v>131</v>
      </c>
      <c r="B15" s="77" t="s">
        <v>132</v>
      </c>
      <c r="C15" s="78">
        <f>'прил.1 дох.и расх.по КОСГУ'!C16</f>
        <v>227275844</v>
      </c>
      <c r="D15" s="78">
        <f>'прил.1 дох.и расх.по КОСГУ'!D16</f>
        <v>35125858</v>
      </c>
      <c r="E15" s="78">
        <f>'прил.1 дох.и расх.по КОСГУ'!E16</f>
        <v>68296145</v>
      </c>
      <c r="F15" s="78">
        <f>'прил.1 дох.и расх.по КОСГУ'!F16</f>
        <v>75791675</v>
      </c>
      <c r="G15" s="78">
        <f>'прил.1 дох.и расх.по КОСГУ'!G16</f>
        <v>48062166</v>
      </c>
    </row>
    <row r="16" spans="1:7" x14ac:dyDescent="0.25">
      <c r="A16" s="79" t="s">
        <v>133</v>
      </c>
      <c r="B16" s="80" t="s">
        <v>134</v>
      </c>
      <c r="C16" s="81">
        <f>C17+C19+C21+C26+C27+C28+C37+C39+C43+C46</f>
        <v>39500400</v>
      </c>
      <c r="D16" s="82">
        <f>D17+D19+D21+D26+D27+D28+D37+D43+D46+D39</f>
        <v>9776498</v>
      </c>
      <c r="E16" s="83">
        <f>E17+E19+E21+E26+E27+E28+E37+E43+E46+E39</f>
        <v>9908552</v>
      </c>
      <c r="F16" s="83">
        <f>F17+F19+F21+F26+F27+F28+F37+F43+F46+F39</f>
        <v>9585200</v>
      </c>
      <c r="G16" s="84">
        <f>G17+G19+G21+G26+G27+G28+G37+G43+G46+G39</f>
        <v>10230150</v>
      </c>
    </row>
    <row r="17" spans="1:7" x14ac:dyDescent="0.25">
      <c r="A17" s="79" t="s">
        <v>135</v>
      </c>
      <c r="B17" s="80" t="s">
        <v>136</v>
      </c>
      <c r="C17" s="81">
        <f>C18</f>
        <v>10025000</v>
      </c>
      <c r="D17" s="82">
        <f>D18</f>
        <v>2131000</v>
      </c>
      <c r="E17" s="83">
        <f>E18</f>
        <v>2638000</v>
      </c>
      <c r="F17" s="83">
        <f>F18</f>
        <v>2541000</v>
      </c>
      <c r="G17" s="84">
        <f>G18</f>
        <v>2715000</v>
      </c>
    </row>
    <row r="18" spans="1:7" x14ac:dyDescent="0.25">
      <c r="A18" s="76" t="s">
        <v>9</v>
      </c>
      <c r="B18" s="85" t="s">
        <v>137</v>
      </c>
      <c r="C18" s="86">
        <f>D18+E18+F18+G18</f>
        <v>10025000</v>
      </c>
      <c r="D18" s="87">
        <v>2131000</v>
      </c>
      <c r="E18" s="88">
        <v>2638000</v>
      </c>
      <c r="F18" s="88">
        <v>2541000</v>
      </c>
      <c r="G18" s="89">
        <f>2840000-125000</f>
        <v>2715000</v>
      </c>
    </row>
    <row r="19" spans="1:7" ht="18" x14ac:dyDescent="0.25">
      <c r="A19" s="79" t="s">
        <v>138</v>
      </c>
      <c r="B19" s="80" t="s">
        <v>139</v>
      </c>
      <c r="C19" s="81">
        <f>C20</f>
        <v>2972000</v>
      </c>
      <c r="D19" s="82">
        <f>D20</f>
        <v>1043748</v>
      </c>
      <c r="E19" s="83">
        <f>E20</f>
        <v>442252</v>
      </c>
      <c r="F19" s="83">
        <f>F20</f>
        <v>743000</v>
      </c>
      <c r="G19" s="84">
        <f>G20</f>
        <v>743000</v>
      </c>
    </row>
    <row r="20" spans="1:7" ht="21" x14ac:dyDescent="0.25">
      <c r="A20" s="76" t="s">
        <v>10</v>
      </c>
      <c r="B20" s="85" t="s">
        <v>140</v>
      </c>
      <c r="C20" s="86">
        <f>D20+E20+F20+G20</f>
        <v>2972000</v>
      </c>
      <c r="D20" s="87">
        <f>743000+300748</f>
        <v>1043748</v>
      </c>
      <c r="E20" s="88">
        <f>743000-300748</f>
        <v>442252</v>
      </c>
      <c r="F20" s="88">
        <v>743000</v>
      </c>
      <c r="G20" s="89">
        <v>743000</v>
      </c>
    </row>
    <row r="21" spans="1:7" x14ac:dyDescent="0.25">
      <c r="A21" s="79" t="s">
        <v>141</v>
      </c>
      <c r="B21" s="80" t="s">
        <v>142</v>
      </c>
      <c r="C21" s="81">
        <f>C22+C23</f>
        <v>12302000</v>
      </c>
      <c r="D21" s="82">
        <f>D22+D23</f>
        <v>2850000</v>
      </c>
      <c r="E21" s="83">
        <f>E22+E23</f>
        <v>2675000</v>
      </c>
      <c r="F21" s="83">
        <f>F22+F23</f>
        <v>3100000</v>
      </c>
      <c r="G21" s="84">
        <f>G22+G23</f>
        <v>3677000</v>
      </c>
    </row>
    <row r="22" spans="1:7" x14ac:dyDescent="0.25">
      <c r="A22" s="76" t="s">
        <v>143</v>
      </c>
      <c r="B22" s="85" t="s">
        <v>144</v>
      </c>
      <c r="C22" s="86">
        <f>D22+E22+F22+G22</f>
        <v>3700000</v>
      </c>
      <c r="D22" s="87">
        <v>1100000</v>
      </c>
      <c r="E22" s="88">
        <v>825000</v>
      </c>
      <c r="F22" s="88">
        <v>1000000</v>
      </c>
      <c r="G22" s="89">
        <f>1175000-400000</f>
        <v>775000</v>
      </c>
    </row>
    <row r="23" spans="1:7" x14ac:dyDescent="0.25">
      <c r="A23" s="76" t="s">
        <v>145</v>
      </c>
      <c r="B23" s="85" t="s">
        <v>146</v>
      </c>
      <c r="C23" s="86">
        <f>D23+E23+F23+G23</f>
        <v>8602000</v>
      </c>
      <c r="D23" s="87">
        <v>1750000</v>
      </c>
      <c r="E23" s="88">
        <v>1850000</v>
      </c>
      <c r="F23" s="88">
        <v>2100000</v>
      </c>
      <c r="G23" s="89">
        <f>1900000+1002000</f>
        <v>2902000</v>
      </c>
    </row>
    <row r="24" spans="1:7" hidden="1" x14ac:dyDescent="0.25">
      <c r="A24" s="76" t="s">
        <v>147</v>
      </c>
      <c r="B24" s="85" t="s">
        <v>148</v>
      </c>
      <c r="C24" s="90"/>
      <c r="D24" s="87"/>
      <c r="E24" s="88"/>
      <c r="F24" s="88"/>
      <c r="G24" s="89"/>
    </row>
    <row r="25" spans="1:7" ht="21" hidden="1" x14ac:dyDescent="0.25">
      <c r="A25" s="76" t="s">
        <v>149</v>
      </c>
      <c r="B25" s="85" t="s">
        <v>150</v>
      </c>
      <c r="C25" s="90"/>
      <c r="D25" s="87"/>
      <c r="E25" s="88"/>
      <c r="F25" s="88"/>
      <c r="G25" s="89"/>
    </row>
    <row r="26" spans="1:7" x14ac:dyDescent="0.25">
      <c r="A26" s="79" t="s">
        <v>151</v>
      </c>
      <c r="B26" s="80" t="s">
        <v>152</v>
      </c>
      <c r="C26" s="81">
        <f>D26+E26+F26+G26</f>
        <v>380000</v>
      </c>
      <c r="D26" s="91">
        <v>85000</v>
      </c>
      <c r="E26" s="92">
        <v>85000</v>
      </c>
      <c r="F26" s="92">
        <v>85000</v>
      </c>
      <c r="G26" s="93">
        <f>85000+40000</f>
        <v>125000</v>
      </c>
    </row>
    <row r="27" spans="1:7" ht="18" x14ac:dyDescent="0.25">
      <c r="A27" s="79" t="s">
        <v>153</v>
      </c>
      <c r="B27" s="80" t="s">
        <v>154</v>
      </c>
      <c r="C27" s="81">
        <f>D27+E27+F27+G27</f>
        <v>900</v>
      </c>
      <c r="D27" s="91">
        <v>250</v>
      </c>
      <c r="E27" s="92">
        <v>300</v>
      </c>
      <c r="F27" s="92">
        <v>200</v>
      </c>
      <c r="G27" s="93">
        <v>150</v>
      </c>
    </row>
    <row r="28" spans="1:7" ht="18" x14ac:dyDescent="0.25">
      <c r="A28" s="79" t="s">
        <v>155</v>
      </c>
      <c r="B28" s="80" t="s">
        <v>156</v>
      </c>
      <c r="C28" s="81">
        <f>C29+C31+C34+C30</f>
        <v>6308500</v>
      </c>
      <c r="D28" s="81">
        <f>D29+D31+D34+D30</f>
        <v>2054000</v>
      </c>
      <c r="E28" s="81">
        <f>E29+E31+E34+E30</f>
        <v>1745500</v>
      </c>
      <c r="F28" s="81">
        <f>F29+F31+F34+F30</f>
        <v>1503500</v>
      </c>
      <c r="G28" s="81">
        <f>G29+G31+G34+G30</f>
        <v>1005500</v>
      </c>
    </row>
    <row r="29" spans="1:7" ht="31.5" x14ac:dyDescent="0.25">
      <c r="A29" s="76" t="s">
        <v>157</v>
      </c>
      <c r="B29" s="85" t="s">
        <v>158</v>
      </c>
      <c r="C29" s="86">
        <f t="shared" ref="C29:C34" si="0">D29+E29+F29+G29</f>
        <v>4032500</v>
      </c>
      <c r="D29" s="87">
        <f>543000+1624000-683000</f>
        <v>1484000</v>
      </c>
      <c r="E29" s="88">
        <f>972500+183000</f>
        <v>1155500</v>
      </c>
      <c r="F29" s="88">
        <f>955500+500000-542000</f>
        <v>913500</v>
      </c>
      <c r="G29" s="89">
        <f>543000+542000-605500</f>
        <v>479500</v>
      </c>
    </row>
    <row r="30" spans="1:7" ht="45" x14ac:dyDescent="0.25">
      <c r="A30" s="120" t="s">
        <v>254</v>
      </c>
      <c r="B30" s="85" t="s">
        <v>255</v>
      </c>
      <c r="C30" s="86">
        <f t="shared" si="0"/>
        <v>10000</v>
      </c>
      <c r="D30" s="87"/>
      <c r="E30" s="88"/>
      <c r="F30" s="88"/>
      <c r="G30" s="89">
        <v>10000</v>
      </c>
    </row>
    <row r="31" spans="1:7" ht="42" x14ac:dyDescent="0.25">
      <c r="A31" s="76" t="s">
        <v>159</v>
      </c>
      <c r="B31" s="85" t="s">
        <v>160</v>
      </c>
      <c r="C31" s="86">
        <f t="shared" si="0"/>
        <v>875000</v>
      </c>
      <c r="D31" s="87">
        <v>220000</v>
      </c>
      <c r="E31" s="88">
        <v>230000</v>
      </c>
      <c r="F31" s="88">
        <v>210000</v>
      </c>
      <c r="G31" s="89">
        <v>215000</v>
      </c>
    </row>
    <row r="32" spans="1:7" ht="31.5" hidden="1" x14ac:dyDescent="0.25">
      <c r="A32" s="76" t="s">
        <v>161</v>
      </c>
      <c r="B32" s="85" t="s">
        <v>162</v>
      </c>
      <c r="C32" s="86">
        <f t="shared" si="0"/>
        <v>0</v>
      </c>
      <c r="D32" s="87"/>
      <c r="E32" s="88"/>
      <c r="F32" s="88"/>
      <c r="G32" s="89"/>
    </row>
    <row r="33" spans="1:7" ht="31.5" hidden="1" x14ac:dyDescent="0.25">
      <c r="A33" s="76" t="s">
        <v>163</v>
      </c>
      <c r="B33" s="85" t="s">
        <v>164</v>
      </c>
      <c r="C33" s="86">
        <f t="shared" si="0"/>
        <v>0</v>
      </c>
      <c r="D33" s="87"/>
      <c r="E33" s="88"/>
      <c r="F33" s="88"/>
      <c r="G33" s="89"/>
    </row>
    <row r="34" spans="1:7" ht="21" x14ac:dyDescent="0.25">
      <c r="A34" s="76" t="s">
        <v>165</v>
      </c>
      <c r="B34" s="85" t="s">
        <v>166</v>
      </c>
      <c r="C34" s="86">
        <f t="shared" si="0"/>
        <v>1391000</v>
      </c>
      <c r="D34" s="87">
        <v>350000</v>
      </c>
      <c r="E34" s="88">
        <v>360000</v>
      </c>
      <c r="F34" s="88">
        <v>380000</v>
      </c>
      <c r="G34" s="89">
        <v>301000</v>
      </c>
    </row>
    <row r="35" spans="1:7" ht="21" hidden="1" x14ac:dyDescent="0.25">
      <c r="A35" s="76" t="s">
        <v>167</v>
      </c>
      <c r="B35" s="85" t="s">
        <v>168</v>
      </c>
      <c r="C35" s="86"/>
      <c r="D35" s="87"/>
      <c r="E35" s="88"/>
      <c r="F35" s="88"/>
      <c r="G35" s="89"/>
    </row>
    <row r="36" spans="1:7" ht="21" hidden="1" x14ac:dyDescent="0.25">
      <c r="A36" s="76" t="s">
        <v>169</v>
      </c>
      <c r="B36" s="85" t="s">
        <v>170</v>
      </c>
      <c r="C36" s="90"/>
      <c r="D36" s="87"/>
      <c r="E36" s="88"/>
      <c r="F36" s="88"/>
      <c r="G36" s="89"/>
    </row>
    <row r="37" spans="1:7" x14ac:dyDescent="0.25">
      <c r="A37" s="79" t="s">
        <v>171</v>
      </c>
      <c r="B37" s="80" t="s">
        <v>172</v>
      </c>
      <c r="C37" s="81">
        <f>C38</f>
        <v>67000</v>
      </c>
      <c r="D37" s="82">
        <f>D38</f>
        <v>16750</v>
      </c>
      <c r="E37" s="83">
        <f>E38</f>
        <v>16750</v>
      </c>
      <c r="F37" s="83">
        <f>F38</f>
        <v>16750</v>
      </c>
      <c r="G37" s="84">
        <f>G38</f>
        <v>16750</v>
      </c>
    </row>
    <row r="38" spans="1:7" x14ac:dyDescent="0.25">
      <c r="A38" s="76" t="s">
        <v>173</v>
      </c>
      <c r="B38" s="85" t="s">
        <v>174</v>
      </c>
      <c r="C38" s="86">
        <f>D38+E38+F38+G38</f>
        <v>67000</v>
      </c>
      <c r="D38" s="87">
        <v>16750</v>
      </c>
      <c r="E38" s="88">
        <v>16750</v>
      </c>
      <c r="F38" s="88">
        <v>16750</v>
      </c>
      <c r="G38" s="89">
        <v>16750</v>
      </c>
    </row>
    <row r="39" spans="1:7" x14ac:dyDescent="0.25">
      <c r="A39" s="94" t="s">
        <v>175</v>
      </c>
      <c r="B39" s="95" t="s">
        <v>176</v>
      </c>
      <c r="C39" s="81">
        <f>C40+C41</f>
        <v>6690000</v>
      </c>
      <c r="D39" s="81">
        <f>D40+D41</f>
        <v>1430000</v>
      </c>
      <c r="E39" s="81">
        <f>E40+E41</f>
        <v>2140000</v>
      </c>
      <c r="F39" s="81">
        <f>F40+F41</f>
        <v>1430000</v>
      </c>
      <c r="G39" s="81">
        <f>G40+G41</f>
        <v>1690000</v>
      </c>
    </row>
    <row r="40" spans="1:7" x14ac:dyDescent="0.25">
      <c r="A40" s="76" t="s">
        <v>177</v>
      </c>
      <c r="B40" s="85" t="s">
        <v>178</v>
      </c>
      <c r="C40" s="86">
        <f>D40+E40+F40+G40</f>
        <v>6540000</v>
      </c>
      <c r="D40" s="87">
        <v>1430000</v>
      </c>
      <c r="E40" s="88">
        <f>1420000+720000</f>
        <v>2140000</v>
      </c>
      <c r="F40" s="88">
        <v>1430000</v>
      </c>
      <c r="G40" s="89">
        <f>1420000+120000</f>
        <v>1540000</v>
      </c>
    </row>
    <row r="41" spans="1:7" x14ac:dyDescent="0.25">
      <c r="A41" s="76" t="s">
        <v>209</v>
      </c>
      <c r="B41" s="85" t="s">
        <v>210</v>
      </c>
      <c r="C41" s="86">
        <f>D41+E41+F41+G41</f>
        <v>150000</v>
      </c>
      <c r="D41" s="87"/>
      <c r="E41" s="88"/>
      <c r="F41" s="88"/>
      <c r="G41" s="89">
        <v>150000</v>
      </c>
    </row>
    <row r="42" spans="1:7" ht="21" hidden="1" x14ac:dyDescent="0.25">
      <c r="A42" s="76" t="s">
        <v>179</v>
      </c>
      <c r="B42" s="85" t="s">
        <v>180</v>
      </c>
      <c r="C42" s="86"/>
      <c r="D42" s="87"/>
      <c r="E42" s="88"/>
      <c r="F42" s="88"/>
      <c r="G42" s="89"/>
    </row>
    <row r="43" spans="1:7" x14ac:dyDescent="0.25">
      <c r="A43" s="79" t="s">
        <v>181</v>
      </c>
      <c r="B43" s="80" t="s">
        <v>182</v>
      </c>
      <c r="C43" s="81">
        <f>C44+C45</f>
        <v>110000</v>
      </c>
      <c r="D43" s="82">
        <f>D44+D45</f>
        <v>25000</v>
      </c>
      <c r="E43" s="83">
        <f>E44+E45</f>
        <v>25000</v>
      </c>
      <c r="F43" s="83">
        <f>F44+F45</f>
        <v>25000</v>
      </c>
      <c r="G43" s="84">
        <f>G44+G45</f>
        <v>35000</v>
      </c>
    </row>
    <row r="44" spans="1:7" ht="42" hidden="1" x14ac:dyDescent="0.25">
      <c r="A44" s="76" t="s">
        <v>183</v>
      </c>
      <c r="B44" s="85" t="s">
        <v>184</v>
      </c>
      <c r="C44" s="86">
        <f>D44+E44+F44+G44</f>
        <v>0</v>
      </c>
      <c r="D44" s="87"/>
      <c r="E44" s="88"/>
      <c r="F44" s="88"/>
      <c r="G44" s="89"/>
    </row>
    <row r="45" spans="1:7" ht="21" x14ac:dyDescent="0.25">
      <c r="A45" s="76" t="s">
        <v>185</v>
      </c>
      <c r="B45" s="85" t="s">
        <v>186</v>
      </c>
      <c r="C45" s="86">
        <f>D45+E45+F45+G45</f>
        <v>110000</v>
      </c>
      <c r="D45" s="87">
        <v>25000</v>
      </c>
      <c r="E45" s="88">
        <v>25000</v>
      </c>
      <c r="F45" s="88">
        <v>25000</v>
      </c>
      <c r="G45" s="89">
        <f>25000+10000</f>
        <v>35000</v>
      </c>
    </row>
    <row r="46" spans="1:7" x14ac:dyDescent="0.25">
      <c r="A46" s="79" t="s">
        <v>187</v>
      </c>
      <c r="B46" s="80" t="s">
        <v>188</v>
      </c>
      <c r="C46" s="81">
        <f>C47+C51+C48+C49+C50</f>
        <v>645000</v>
      </c>
      <c r="D46" s="81">
        <f>D47+D51+D48+D49+D50</f>
        <v>140750</v>
      </c>
      <c r="E46" s="81">
        <f>E47+E51+E48+E49+E50</f>
        <v>140750</v>
      </c>
      <c r="F46" s="81">
        <f>F47+F51+F48+F49+F50</f>
        <v>140750</v>
      </c>
      <c r="G46" s="81">
        <f>G47+G51+G48+G49+G50</f>
        <v>222750</v>
      </c>
    </row>
    <row r="47" spans="1:7" x14ac:dyDescent="0.25">
      <c r="A47" s="76" t="s">
        <v>189</v>
      </c>
      <c r="B47" s="85" t="s">
        <v>190</v>
      </c>
      <c r="C47" s="86">
        <f>D47+E47+F47+G47</f>
        <v>40000</v>
      </c>
      <c r="D47" s="87">
        <v>10000</v>
      </c>
      <c r="E47" s="88">
        <v>10000</v>
      </c>
      <c r="F47" s="88">
        <v>10000</v>
      </c>
      <c r="G47" s="89">
        <v>10000</v>
      </c>
    </row>
    <row r="48" spans="1:7" x14ac:dyDescent="0.25">
      <c r="A48" s="110" t="s">
        <v>215</v>
      </c>
      <c r="B48" s="111" t="s">
        <v>216</v>
      </c>
      <c r="C48" s="86">
        <f>D48+E48+F48+G48</f>
        <v>81000</v>
      </c>
      <c r="D48" s="87"/>
      <c r="E48" s="88"/>
      <c r="F48" s="88"/>
      <c r="G48" s="89">
        <v>81000</v>
      </c>
    </row>
    <row r="49" spans="1:7" x14ac:dyDescent="0.25">
      <c r="A49" s="110" t="s">
        <v>213</v>
      </c>
      <c r="B49" s="111" t="s">
        <v>214</v>
      </c>
      <c r="C49" s="86">
        <f>D49+E49+F49+G49</f>
        <v>3000</v>
      </c>
      <c r="D49" s="87"/>
      <c r="E49" s="88"/>
      <c r="F49" s="88"/>
      <c r="G49" s="89">
        <v>3000</v>
      </c>
    </row>
    <row r="50" spans="1:7" ht="31.5" x14ac:dyDescent="0.25">
      <c r="A50" s="110" t="s">
        <v>211</v>
      </c>
      <c r="B50" s="111" t="s">
        <v>212</v>
      </c>
      <c r="C50" s="86">
        <f>D50+E50+F50+G50</f>
        <v>1000</v>
      </c>
      <c r="D50" s="107"/>
      <c r="E50" s="108"/>
      <c r="F50" s="108"/>
      <c r="G50" s="109">
        <v>1000</v>
      </c>
    </row>
    <row r="51" spans="1:7" ht="15.75" thickBot="1" x14ac:dyDescent="0.3">
      <c r="A51" s="76" t="s">
        <v>191</v>
      </c>
      <c r="B51" s="85" t="s">
        <v>192</v>
      </c>
      <c r="C51" s="96">
        <f>D51+E51+F51+G51</f>
        <v>520000</v>
      </c>
      <c r="D51" s="97">
        <v>130750</v>
      </c>
      <c r="E51" s="98">
        <v>130750</v>
      </c>
      <c r="F51" s="98">
        <v>130750</v>
      </c>
      <c r="G51" s="99">
        <f>130750-3000</f>
        <v>127750</v>
      </c>
    </row>
  </sheetData>
  <mergeCells count="5">
    <mergeCell ref="C12:C13"/>
    <mergeCell ref="D12:G12"/>
    <mergeCell ref="A7:G7"/>
    <mergeCell ref="A8:G8"/>
    <mergeCell ref="B12:B13"/>
  </mergeCells>
  <phoneticPr fontId="0" type="noConversion"/>
  <pageMargins left="0.70866141732283472" right="0.70866141732283472" top="0.55118110236220474" bottom="0.35433070866141736" header="0.31496062992125984" footer="0.31496062992125984"/>
  <pageSetup paperSize="9" scale="5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10" workbookViewId="0">
      <selection activeCell="A7" sqref="A7:G7"/>
    </sheetView>
  </sheetViews>
  <sheetFormatPr defaultRowHeight="15" x14ac:dyDescent="0.25"/>
  <cols>
    <col min="1" max="1" width="33.85546875" customWidth="1"/>
    <col min="2" max="2" width="22.140625" customWidth="1"/>
    <col min="3" max="3" width="16.42578125" customWidth="1"/>
    <col min="4" max="7" width="13.85546875" customWidth="1"/>
    <col min="8" max="8" width="14.28515625" bestFit="1" customWidth="1"/>
  </cols>
  <sheetData>
    <row r="2" spans="1:8" x14ac:dyDescent="0.25">
      <c r="E2" t="s">
        <v>199</v>
      </c>
    </row>
    <row r="3" spans="1:8" x14ac:dyDescent="0.25">
      <c r="E3" t="s">
        <v>195</v>
      </c>
    </row>
    <row r="4" spans="1:8" x14ac:dyDescent="0.25">
      <c r="E4" t="s">
        <v>234</v>
      </c>
    </row>
    <row r="5" spans="1:8" x14ac:dyDescent="0.25">
      <c r="E5" t="s">
        <v>233</v>
      </c>
    </row>
    <row r="6" spans="1:8" ht="18.75" x14ac:dyDescent="0.25">
      <c r="A6" s="135"/>
      <c r="B6" s="135"/>
      <c r="C6" s="135"/>
      <c r="D6" s="135"/>
      <c r="E6" s="135"/>
      <c r="F6" s="135"/>
      <c r="G6" s="135"/>
    </row>
    <row r="7" spans="1:8" ht="41.25" customHeight="1" x14ac:dyDescent="0.35">
      <c r="A7" s="138" t="s">
        <v>250</v>
      </c>
      <c r="B7" s="121"/>
      <c r="C7" s="121"/>
      <c r="D7" s="121"/>
      <c r="E7" s="121"/>
      <c r="F7" s="121"/>
      <c r="G7" s="121"/>
    </row>
    <row r="8" spans="1:8" ht="18.75" customHeight="1" x14ac:dyDescent="0.3">
      <c r="A8" s="11"/>
      <c r="B8" s="139"/>
      <c r="C8" s="139"/>
      <c r="D8" s="139"/>
      <c r="E8" s="139"/>
      <c r="F8" s="10"/>
      <c r="G8" s="10"/>
    </row>
    <row r="9" spans="1:8" ht="18.75" x14ac:dyDescent="0.25">
      <c r="A9" s="7"/>
    </row>
    <row r="10" spans="1:8" ht="15.75" thickBot="1" x14ac:dyDescent="0.3">
      <c r="A10" s="8"/>
      <c r="G10" s="8" t="s">
        <v>29</v>
      </c>
    </row>
    <row r="11" spans="1:8" ht="33" customHeight="1" thickBot="1" x14ac:dyDescent="0.3">
      <c r="A11" s="12" t="s">
        <v>30</v>
      </c>
      <c r="B11" s="13" t="s">
        <v>38</v>
      </c>
      <c r="C11" s="136" t="s">
        <v>32</v>
      </c>
      <c r="D11" s="132" t="s">
        <v>37</v>
      </c>
      <c r="E11" s="133"/>
      <c r="F11" s="133"/>
      <c r="G11" s="134"/>
    </row>
    <row r="12" spans="1:8" ht="78" customHeight="1" x14ac:dyDescent="0.25">
      <c r="A12" s="14" t="s">
        <v>31</v>
      </c>
      <c r="B12" s="15"/>
      <c r="C12" s="140"/>
      <c r="D12" s="16" t="s">
        <v>34</v>
      </c>
      <c r="E12" s="16" t="s">
        <v>33</v>
      </c>
      <c r="F12" s="16" t="s">
        <v>35</v>
      </c>
      <c r="G12" s="17" t="s">
        <v>36</v>
      </c>
    </row>
    <row r="13" spans="1:8" s="9" customFormat="1" ht="12" thickBot="1" x14ac:dyDescent="0.25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20">
        <v>7</v>
      </c>
    </row>
    <row r="14" spans="1:8" ht="29.25" x14ac:dyDescent="0.25">
      <c r="A14" s="46" t="s">
        <v>71</v>
      </c>
      <c r="B14" s="119" t="s">
        <v>238</v>
      </c>
      <c r="C14" s="53">
        <f t="shared" ref="C14:C20" si="0">SUM(D14:G14)</f>
        <v>2853656.3200000003</v>
      </c>
      <c r="D14" s="101">
        <f>-('прил.1 дох.и расх.по КОСГУ'!D16-'прил.1 дох.и расх.по КОСГУ'!D31)</f>
        <v>25386962</v>
      </c>
      <c r="E14" s="101">
        <f>-('прил.1 дох.и расх.по КОСГУ'!E16-'прил.1 дох.и расх.по КОСГУ'!E31)</f>
        <v>-11565746</v>
      </c>
      <c r="F14" s="101">
        <f>-('прил.1 дох.и расх.по КОСГУ'!F16-'прил.1 дох.и расх.по КОСГУ'!F31)</f>
        <v>-583874.43999999762</v>
      </c>
      <c r="G14" s="101">
        <f>-('прил.1 дох.и расх.по КОСГУ'!G16-'прил.1 дох.и расх.по КОСГУ'!G31)</f>
        <v>-10383685.240000002</v>
      </c>
      <c r="H14" s="32"/>
    </row>
    <row r="15" spans="1:8" x14ac:dyDescent="0.25">
      <c r="A15" s="118" t="s">
        <v>237</v>
      </c>
      <c r="B15" s="119" t="s">
        <v>238</v>
      </c>
      <c r="C15" s="53">
        <f t="shared" si="0"/>
        <v>1800000</v>
      </c>
      <c r="D15" s="101"/>
      <c r="E15" s="101">
        <v>1800000</v>
      </c>
      <c r="F15" s="101"/>
      <c r="G15" s="101"/>
      <c r="H15" s="32"/>
    </row>
    <row r="16" spans="1:8" ht="19.5" x14ac:dyDescent="0.25">
      <c r="A16" s="118" t="s">
        <v>239</v>
      </c>
      <c r="B16" s="48" t="s">
        <v>240</v>
      </c>
      <c r="C16" s="53">
        <f t="shared" si="0"/>
        <v>1800000</v>
      </c>
      <c r="D16" s="101"/>
      <c r="E16" s="101">
        <v>1800000</v>
      </c>
      <c r="F16" s="101"/>
      <c r="G16" s="101"/>
      <c r="H16" s="32"/>
    </row>
    <row r="17" spans="1:8" ht="19.5" x14ac:dyDescent="0.25">
      <c r="A17" s="118" t="s">
        <v>241</v>
      </c>
      <c r="B17" s="48" t="s">
        <v>242</v>
      </c>
      <c r="C17" s="53">
        <f t="shared" si="0"/>
        <v>9212000</v>
      </c>
      <c r="D17" s="101"/>
      <c r="E17" s="101">
        <v>9212000</v>
      </c>
      <c r="F17" s="101"/>
      <c r="G17" s="101"/>
      <c r="H17" s="32"/>
    </row>
    <row r="18" spans="1:8" ht="29.25" x14ac:dyDescent="0.25">
      <c r="A18" s="118" t="s">
        <v>245</v>
      </c>
      <c r="B18" s="48" t="s">
        <v>246</v>
      </c>
      <c r="C18" s="53">
        <f t="shared" si="0"/>
        <v>-7412000</v>
      </c>
      <c r="D18" s="101"/>
      <c r="E18" s="101">
        <v>-7412000</v>
      </c>
      <c r="F18" s="101"/>
      <c r="G18" s="101"/>
      <c r="H18" s="32"/>
    </row>
    <row r="19" spans="1:8" ht="29.25" x14ac:dyDescent="0.25">
      <c r="A19" s="118" t="s">
        <v>244</v>
      </c>
      <c r="B19" s="48" t="s">
        <v>243</v>
      </c>
      <c r="C19" s="53">
        <f t="shared" si="0"/>
        <v>9212000</v>
      </c>
      <c r="D19" s="101"/>
      <c r="E19" s="101">
        <v>9212000</v>
      </c>
      <c r="F19" s="101"/>
      <c r="G19" s="101"/>
      <c r="H19" s="32"/>
    </row>
    <row r="20" spans="1:8" ht="29.25" x14ac:dyDescent="0.25">
      <c r="A20" s="118" t="s">
        <v>247</v>
      </c>
      <c r="B20" s="48" t="s">
        <v>248</v>
      </c>
      <c r="C20" s="53">
        <f t="shared" si="0"/>
        <v>-7412000</v>
      </c>
      <c r="D20" s="101"/>
      <c r="E20" s="101">
        <v>-7412000</v>
      </c>
      <c r="F20" s="101"/>
      <c r="G20" s="101"/>
      <c r="H20" s="32"/>
    </row>
    <row r="21" spans="1:8" x14ac:dyDescent="0.25">
      <c r="A21" s="47" t="s">
        <v>72</v>
      </c>
      <c r="B21" s="48" t="s">
        <v>73</v>
      </c>
      <c r="C21" s="53">
        <v>1053656.32</v>
      </c>
      <c r="D21" s="101"/>
      <c r="E21" s="101">
        <v>1053656.32</v>
      </c>
      <c r="F21" s="101"/>
      <c r="G21" s="101"/>
    </row>
    <row r="22" spans="1:8" ht="33.75" hidden="1" customHeight="1" x14ac:dyDescent="0.25">
      <c r="A22" s="112" t="s">
        <v>217</v>
      </c>
      <c r="B22" s="113" t="s">
        <v>220</v>
      </c>
      <c r="C22" s="53">
        <f>SUM(D22:G22)</f>
        <v>0</v>
      </c>
      <c r="D22" s="101"/>
      <c r="E22" s="101"/>
      <c r="F22" s="101"/>
      <c r="G22" s="101"/>
    </row>
    <row r="23" spans="1:8" ht="45" hidden="1" customHeight="1" x14ac:dyDescent="0.25">
      <c r="A23" s="112" t="s">
        <v>218</v>
      </c>
      <c r="B23" s="113" t="s">
        <v>221</v>
      </c>
      <c r="C23" s="53">
        <f>SUM(D23:G23)</f>
        <v>0</v>
      </c>
      <c r="D23" s="101"/>
      <c r="E23" s="101"/>
      <c r="F23" s="101"/>
      <c r="G23" s="101"/>
    </row>
    <row r="24" spans="1:8" ht="56.25" hidden="1" customHeight="1" x14ac:dyDescent="0.25">
      <c r="A24" s="112" t="s">
        <v>219</v>
      </c>
      <c r="B24" s="113" t="s">
        <v>222</v>
      </c>
      <c r="C24" s="53">
        <f>SUM(D24:G24)</f>
        <v>0</v>
      </c>
      <c r="D24" s="101"/>
      <c r="E24" s="101"/>
      <c r="F24" s="101"/>
      <c r="G24" s="101"/>
    </row>
    <row r="25" spans="1:8" ht="56.25" hidden="1" customHeight="1" x14ac:dyDescent="0.25">
      <c r="A25" s="112" t="s">
        <v>223</v>
      </c>
      <c r="B25" s="113" t="s">
        <v>224</v>
      </c>
      <c r="C25" s="53">
        <f>SUM(D25:G25)</f>
        <v>0</v>
      </c>
      <c r="D25" s="101"/>
      <c r="E25" s="101"/>
      <c r="F25" s="101"/>
      <c r="G25" s="101"/>
    </row>
    <row r="26" spans="1:8" ht="19.5" hidden="1" customHeight="1" x14ac:dyDescent="0.25">
      <c r="A26" s="47" t="s">
        <v>225</v>
      </c>
      <c r="B26" s="48" t="s">
        <v>226</v>
      </c>
      <c r="C26" s="53"/>
      <c r="D26" s="101"/>
      <c r="E26" s="101"/>
      <c r="F26" s="101"/>
      <c r="G26" s="101"/>
      <c r="H26" s="32"/>
    </row>
    <row r="27" spans="1:8" ht="22.5" hidden="1" customHeight="1" x14ac:dyDescent="0.25">
      <c r="A27" s="114" t="s">
        <v>227</v>
      </c>
      <c r="B27" s="48" t="s">
        <v>230</v>
      </c>
      <c r="C27" s="53"/>
      <c r="D27" s="101"/>
      <c r="E27" s="101"/>
      <c r="F27" s="101"/>
      <c r="G27" s="101"/>
    </row>
    <row r="28" spans="1:8" ht="33.75" hidden="1" customHeight="1" x14ac:dyDescent="0.25">
      <c r="A28" s="114" t="s">
        <v>228</v>
      </c>
      <c r="B28" s="48" t="s">
        <v>231</v>
      </c>
      <c r="C28" s="53"/>
      <c r="D28" s="101"/>
      <c r="E28" s="101"/>
      <c r="F28" s="101"/>
      <c r="G28" s="101"/>
    </row>
    <row r="29" spans="1:8" ht="33.75" hidden="1" customHeight="1" x14ac:dyDescent="0.25">
      <c r="A29" s="114" t="s">
        <v>229</v>
      </c>
      <c r="B29" s="48" t="s">
        <v>232</v>
      </c>
      <c r="C29" s="53"/>
      <c r="D29" s="101"/>
      <c r="E29" s="101"/>
      <c r="F29" s="101"/>
      <c r="G29" s="101"/>
    </row>
    <row r="30" spans="1:8" x14ac:dyDescent="0.25">
      <c r="A30" s="47" t="s">
        <v>74</v>
      </c>
      <c r="B30" s="48" t="s">
        <v>75</v>
      </c>
      <c r="C30" s="53">
        <f>SUM(D30:G30)</f>
        <v>-236487844</v>
      </c>
      <c r="D30" s="39">
        <f>-('прил.1 дох.и расх.по КОСГУ'!D16+'прил.3 источн'!D17)</f>
        <v>-35125858</v>
      </c>
      <c r="E30" s="39">
        <f>-('прил.1 дох.и расх.по КОСГУ'!E16+'прил.3 источн'!E17)</f>
        <v>-77508145</v>
      </c>
      <c r="F30" s="39">
        <f>-('прил.1 дох.и расх.по КОСГУ'!F16+'прил.3 источн'!F17)</f>
        <v>-75791675</v>
      </c>
      <c r="G30" s="39">
        <f>-('прил.1 дох.и расх.по КОСГУ'!G16+'прил.3 источн'!G17)</f>
        <v>-48062166</v>
      </c>
      <c r="H30" s="32"/>
    </row>
    <row r="31" spans="1:8" x14ac:dyDescent="0.25">
      <c r="A31" s="47" t="s">
        <v>76</v>
      </c>
      <c r="B31" s="48" t="s">
        <v>77</v>
      </c>
      <c r="C31" s="53">
        <f>C30</f>
        <v>-236487844</v>
      </c>
      <c r="D31" s="53">
        <f>D30</f>
        <v>-35125858</v>
      </c>
      <c r="E31" s="53">
        <f>E30</f>
        <v>-77508145</v>
      </c>
      <c r="F31" s="53">
        <f>F30</f>
        <v>-75791675</v>
      </c>
      <c r="G31" s="53">
        <f>G30</f>
        <v>-48062166</v>
      </c>
    </row>
    <row r="32" spans="1:8" ht="19.5" x14ac:dyDescent="0.25">
      <c r="A32" s="47" t="s">
        <v>78</v>
      </c>
      <c r="B32" s="48" t="s">
        <v>79</v>
      </c>
      <c r="C32" s="53">
        <f>C30</f>
        <v>-236487844</v>
      </c>
      <c r="D32" s="53">
        <f>D30</f>
        <v>-35125858</v>
      </c>
      <c r="E32" s="53">
        <f>E30</f>
        <v>-77508145</v>
      </c>
      <c r="F32" s="53">
        <f>F30</f>
        <v>-75791675</v>
      </c>
      <c r="G32" s="53">
        <f>G30</f>
        <v>-48062166</v>
      </c>
    </row>
    <row r="33" spans="1:8" ht="19.5" x14ac:dyDescent="0.25">
      <c r="A33" s="47" t="s">
        <v>80</v>
      </c>
      <c r="B33" s="48" t="s">
        <v>81</v>
      </c>
      <c r="C33" s="53">
        <f>C30</f>
        <v>-236487844</v>
      </c>
      <c r="D33" s="53">
        <f>D30</f>
        <v>-35125858</v>
      </c>
      <c r="E33" s="53">
        <f>E30</f>
        <v>-77508145</v>
      </c>
      <c r="F33" s="53">
        <f>F30</f>
        <v>-75791675</v>
      </c>
      <c r="G33" s="53">
        <f>G30</f>
        <v>-48062166</v>
      </c>
    </row>
    <row r="34" spans="1:8" x14ac:dyDescent="0.25">
      <c r="A34" s="47" t="s">
        <v>82</v>
      </c>
      <c r="B34" s="49" t="s">
        <v>83</v>
      </c>
      <c r="C34" s="53">
        <f>SUM(D34:G34)</f>
        <v>237541500.31999999</v>
      </c>
      <c r="D34" s="39">
        <f>'прил.1 дох.и расх.по КОСГУ'!D31-'прил.3 источн'!D18</f>
        <v>60512820</v>
      </c>
      <c r="E34" s="39">
        <f>'прил.1 дох.и расх.по КОСГУ'!E31-'прил.3 источн'!E18</f>
        <v>64142399</v>
      </c>
      <c r="F34" s="39">
        <f>'прил.1 дох.и расх.по КОСГУ'!F31-'прил.3 источн'!F18</f>
        <v>75207800.560000002</v>
      </c>
      <c r="G34" s="39">
        <f>'прил.1 дох.и расх.по КОСГУ'!G31-'прил.3 источн'!G18</f>
        <v>37678480.759999998</v>
      </c>
      <c r="H34" s="32"/>
    </row>
    <row r="35" spans="1:8" x14ac:dyDescent="0.25">
      <c r="A35" s="50" t="s">
        <v>84</v>
      </c>
      <c r="B35" s="51" t="s">
        <v>85</v>
      </c>
      <c r="C35" s="53">
        <f>C34</f>
        <v>237541500.31999999</v>
      </c>
      <c r="D35" s="53">
        <f>D34</f>
        <v>60512820</v>
      </c>
      <c r="E35" s="53">
        <f>E34</f>
        <v>64142399</v>
      </c>
      <c r="F35" s="53">
        <f>F34</f>
        <v>75207800.560000002</v>
      </c>
      <c r="G35" s="53">
        <f>G34</f>
        <v>37678480.759999998</v>
      </c>
    </row>
    <row r="36" spans="1:8" ht="19.5" x14ac:dyDescent="0.25">
      <c r="A36" s="50" t="s">
        <v>86</v>
      </c>
      <c r="B36" s="52" t="s">
        <v>87</v>
      </c>
      <c r="C36" s="53">
        <f>C34</f>
        <v>237541500.31999999</v>
      </c>
      <c r="D36" s="53">
        <f>D34</f>
        <v>60512820</v>
      </c>
      <c r="E36" s="53">
        <f>E34</f>
        <v>64142399</v>
      </c>
      <c r="F36" s="53">
        <f>F34</f>
        <v>75207800.560000002</v>
      </c>
      <c r="G36" s="53">
        <f>G34</f>
        <v>37678480.759999998</v>
      </c>
    </row>
    <row r="37" spans="1:8" ht="19.5" x14ac:dyDescent="0.25">
      <c r="A37" s="50" t="s">
        <v>88</v>
      </c>
      <c r="B37" s="52" t="s">
        <v>89</v>
      </c>
      <c r="C37" s="53">
        <f>C34</f>
        <v>237541500.31999999</v>
      </c>
      <c r="D37" s="53">
        <f>D34</f>
        <v>60512820</v>
      </c>
      <c r="E37" s="53">
        <f>E34</f>
        <v>64142399</v>
      </c>
      <c r="F37" s="53">
        <f>F34</f>
        <v>75207800.560000002</v>
      </c>
      <c r="G37" s="53">
        <f>G34</f>
        <v>37678480.759999998</v>
      </c>
    </row>
    <row r="39" spans="1:8" x14ac:dyDescent="0.25">
      <c r="C39" s="32"/>
    </row>
  </sheetData>
  <mergeCells count="5">
    <mergeCell ref="A6:G6"/>
    <mergeCell ref="A7:G7"/>
    <mergeCell ref="B8:E8"/>
    <mergeCell ref="C11:C12"/>
    <mergeCell ref="D11:G11"/>
  </mergeCells>
  <phoneticPr fontId="0" type="noConversion"/>
  <pageMargins left="0.7" right="0.7" top="0.75" bottom="0.75" header="0.3" footer="0.3"/>
  <pageSetup paperSize="9" scale="6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workbookViewId="0">
      <selection activeCell="A8" sqref="A8:F8"/>
    </sheetView>
  </sheetViews>
  <sheetFormatPr defaultRowHeight="15" x14ac:dyDescent="0.25"/>
  <cols>
    <col min="1" max="1" width="57.5703125" customWidth="1"/>
    <col min="2" max="2" width="15.7109375" customWidth="1"/>
    <col min="3" max="3" width="15.28515625" customWidth="1"/>
    <col min="4" max="4" width="14.140625" customWidth="1"/>
    <col min="5" max="5" width="14.5703125" customWidth="1"/>
    <col min="6" max="6" width="14.7109375" customWidth="1"/>
    <col min="7" max="7" width="14" customWidth="1"/>
    <col min="8" max="9" width="11.42578125" bestFit="1" customWidth="1"/>
    <col min="10" max="10" width="12.140625" bestFit="1" customWidth="1"/>
  </cols>
  <sheetData>
    <row r="2" spans="1:7" x14ac:dyDescent="0.25">
      <c r="D2" t="s">
        <v>200</v>
      </c>
    </row>
    <row r="3" spans="1:7" x14ac:dyDescent="0.25">
      <c r="D3" t="s">
        <v>195</v>
      </c>
    </row>
    <row r="4" spans="1:7" x14ac:dyDescent="0.25">
      <c r="D4" t="s">
        <v>196</v>
      </c>
    </row>
    <row r="5" spans="1:7" x14ac:dyDescent="0.25">
      <c r="D5" t="s">
        <v>197</v>
      </c>
    </row>
    <row r="7" spans="1:7" ht="18.75" x14ac:dyDescent="0.25">
      <c r="A7" s="148" t="s">
        <v>44</v>
      </c>
      <c r="B7" s="148"/>
      <c r="C7" s="148"/>
      <c r="D7" s="148"/>
      <c r="E7" s="148"/>
      <c r="F7" s="148"/>
    </row>
    <row r="8" spans="1:7" ht="18.75" x14ac:dyDescent="0.25">
      <c r="A8" s="148" t="s">
        <v>51</v>
      </c>
      <c r="B8" s="148"/>
      <c r="C8" s="148"/>
      <c r="D8" s="148"/>
      <c r="E8" s="148"/>
      <c r="F8" s="148"/>
    </row>
    <row r="9" spans="1:7" ht="18.75" x14ac:dyDescent="0.3">
      <c r="A9" s="139" t="s">
        <v>251</v>
      </c>
      <c r="B9" s="139"/>
      <c r="C9" s="139"/>
      <c r="D9" s="139"/>
      <c r="E9" s="139"/>
      <c r="F9" s="139"/>
    </row>
    <row r="10" spans="1:7" ht="18.75" x14ac:dyDescent="0.25">
      <c r="A10" s="7"/>
    </row>
    <row r="11" spans="1:7" ht="16.5" thickBot="1" x14ac:dyDescent="0.3">
      <c r="A11" s="26"/>
      <c r="E11" s="26"/>
      <c r="F11" s="26" t="s">
        <v>50</v>
      </c>
    </row>
    <row r="12" spans="1:7" ht="31.5" customHeight="1" thickBot="1" x14ac:dyDescent="0.3">
      <c r="A12" s="141" t="s">
        <v>45</v>
      </c>
      <c r="B12" s="143" t="s">
        <v>46</v>
      </c>
      <c r="C12" s="145" t="s">
        <v>47</v>
      </c>
      <c r="D12" s="146"/>
      <c r="E12" s="146"/>
      <c r="F12" s="147"/>
    </row>
    <row r="13" spans="1:7" ht="29.25" customHeight="1" thickBot="1" x14ac:dyDescent="0.3">
      <c r="A13" s="142"/>
      <c r="B13" s="144"/>
      <c r="C13" s="27" t="s">
        <v>2</v>
      </c>
      <c r="D13" s="27" t="s">
        <v>3</v>
      </c>
      <c r="E13" s="27" t="s">
        <v>4</v>
      </c>
      <c r="F13" s="28" t="s">
        <v>5</v>
      </c>
    </row>
    <row r="14" spans="1:7" ht="28.5" customHeight="1" thickBot="1" x14ac:dyDescent="0.3">
      <c r="A14" s="36" t="s">
        <v>48</v>
      </c>
      <c r="B14" s="37">
        <f>SUM(B16:B47)</f>
        <v>230129500.31999999</v>
      </c>
      <c r="C14" s="37">
        <f>SUM(C16:C47)</f>
        <v>60512820</v>
      </c>
      <c r="D14" s="37">
        <f>SUM(D16:D47)</f>
        <v>56730399</v>
      </c>
      <c r="E14" s="37">
        <f>SUM(E16:E47)</f>
        <v>75207800.560000002</v>
      </c>
      <c r="F14" s="38">
        <f>SUM(F16:F47)</f>
        <v>37678480.759999998</v>
      </c>
      <c r="G14" s="32"/>
    </row>
    <row r="15" spans="1:7" ht="15.75" x14ac:dyDescent="0.25">
      <c r="A15" s="33" t="s">
        <v>49</v>
      </c>
      <c r="B15" s="34"/>
      <c r="C15" s="35"/>
      <c r="D15" s="35"/>
      <c r="E15" s="35"/>
      <c r="F15" s="35"/>
    </row>
    <row r="16" spans="1:7" ht="25.5" x14ac:dyDescent="0.25">
      <c r="A16" s="41" t="s">
        <v>90</v>
      </c>
      <c r="B16" s="39">
        <f>SUM(C16:F16)</f>
        <v>783300</v>
      </c>
      <c r="C16" s="39">
        <v>206810</v>
      </c>
      <c r="D16" s="39">
        <v>295500</v>
      </c>
      <c r="E16" s="39">
        <v>392100</v>
      </c>
      <c r="F16" s="40">
        <v>-111110</v>
      </c>
      <c r="G16" s="32"/>
    </row>
    <row r="17" spans="1:10" ht="25.5" x14ac:dyDescent="0.25">
      <c r="A17" s="42" t="s">
        <v>91</v>
      </c>
      <c r="B17" s="39">
        <f t="shared" ref="B17:B47" si="0">SUM(C17:F17)</f>
        <v>11811198</v>
      </c>
      <c r="C17" s="115">
        <v>3568644</v>
      </c>
      <c r="D17" s="115">
        <v>4252740</v>
      </c>
      <c r="E17" s="115">
        <v>3342500</v>
      </c>
      <c r="F17" s="116">
        <v>647314</v>
      </c>
      <c r="G17" s="32"/>
      <c r="H17" s="32"/>
      <c r="I17" s="32"/>
      <c r="J17" s="32"/>
    </row>
    <row r="18" spans="1:10" x14ac:dyDescent="0.25">
      <c r="A18" s="42" t="s">
        <v>92</v>
      </c>
      <c r="B18" s="39">
        <f t="shared" si="0"/>
        <v>814900</v>
      </c>
      <c r="C18" s="39">
        <v>195000</v>
      </c>
      <c r="D18" s="39">
        <v>244500</v>
      </c>
      <c r="E18" s="39">
        <v>256500</v>
      </c>
      <c r="F18" s="40">
        <v>118900</v>
      </c>
      <c r="G18" s="32"/>
      <c r="H18" s="32"/>
      <c r="I18" s="32"/>
      <c r="J18" s="32"/>
    </row>
    <row r="19" spans="1:10" x14ac:dyDescent="0.25">
      <c r="A19" s="42" t="s">
        <v>93</v>
      </c>
      <c r="B19" s="39">
        <f t="shared" si="0"/>
        <v>429600</v>
      </c>
      <c r="C19" s="39">
        <v>130000</v>
      </c>
      <c r="D19" s="39">
        <v>117700</v>
      </c>
      <c r="E19" s="39">
        <v>123200</v>
      </c>
      <c r="F19" s="40">
        <v>58700</v>
      </c>
      <c r="G19" s="32"/>
      <c r="H19" s="32"/>
      <c r="I19" s="32"/>
      <c r="J19" s="32"/>
    </row>
    <row r="20" spans="1:10" ht="25.5" x14ac:dyDescent="0.25">
      <c r="A20" s="42" t="s">
        <v>94</v>
      </c>
      <c r="B20" s="39">
        <f t="shared" si="0"/>
        <v>903850</v>
      </c>
      <c r="C20" s="39">
        <v>118000</v>
      </c>
      <c r="D20" s="39">
        <v>187400</v>
      </c>
      <c r="E20" s="39">
        <v>559450</v>
      </c>
      <c r="F20" s="40">
        <v>39000</v>
      </c>
      <c r="G20" s="32">
        <f>SUM(B17:B20)+B16</f>
        <v>14742848</v>
      </c>
    </row>
    <row r="21" spans="1:10" ht="25.5" x14ac:dyDescent="0.25">
      <c r="A21" s="43" t="s">
        <v>95</v>
      </c>
      <c r="B21" s="39">
        <f t="shared" si="0"/>
        <v>3705757</v>
      </c>
      <c r="C21" s="39">
        <v>374690</v>
      </c>
      <c r="D21" s="39">
        <v>1109410</v>
      </c>
      <c r="E21" s="39">
        <v>948173</v>
      </c>
      <c r="F21" s="40">
        <v>1273484</v>
      </c>
    </row>
    <row r="22" spans="1:10" x14ac:dyDescent="0.25">
      <c r="A22" s="43" t="s">
        <v>96</v>
      </c>
      <c r="B22" s="39">
        <f t="shared" si="0"/>
        <v>9427435</v>
      </c>
      <c r="C22" s="39">
        <v>2738060</v>
      </c>
      <c r="D22" s="39">
        <v>2426900</v>
      </c>
      <c r="E22" s="39">
        <v>2048140</v>
      </c>
      <c r="F22" s="40">
        <v>2214335</v>
      </c>
      <c r="G22" s="32"/>
    </row>
    <row r="23" spans="1:10" ht="25.5" x14ac:dyDescent="0.25">
      <c r="A23" s="43" t="s">
        <v>97</v>
      </c>
      <c r="B23" s="39">
        <f t="shared" si="0"/>
        <v>1703000</v>
      </c>
      <c r="C23" s="39">
        <v>629000</v>
      </c>
      <c r="D23" s="39">
        <v>725600</v>
      </c>
      <c r="E23" s="39">
        <v>338450</v>
      </c>
      <c r="F23" s="40">
        <v>9950</v>
      </c>
      <c r="G23" s="32"/>
    </row>
    <row r="24" spans="1:10" x14ac:dyDescent="0.25">
      <c r="A24" s="44" t="s">
        <v>98</v>
      </c>
      <c r="B24" s="39">
        <f t="shared" si="0"/>
        <v>2988900</v>
      </c>
      <c r="C24" s="39">
        <v>759300</v>
      </c>
      <c r="D24" s="39">
        <v>971120</v>
      </c>
      <c r="E24" s="39">
        <v>722966.87</v>
      </c>
      <c r="F24" s="40">
        <v>535513.13</v>
      </c>
    </row>
    <row r="25" spans="1:10" x14ac:dyDescent="0.25">
      <c r="A25" s="44" t="s">
        <v>99</v>
      </c>
      <c r="B25" s="39">
        <f t="shared" si="0"/>
        <v>1731200</v>
      </c>
      <c r="C25" s="39">
        <v>638910</v>
      </c>
      <c r="D25" s="39">
        <v>452600</v>
      </c>
      <c r="E25" s="39">
        <v>419020</v>
      </c>
      <c r="F25" s="40">
        <v>220670</v>
      </c>
    </row>
    <row r="26" spans="1:10" x14ac:dyDescent="0.25">
      <c r="A26" s="44" t="s">
        <v>100</v>
      </c>
      <c r="B26" s="39">
        <f t="shared" si="0"/>
        <v>17223183.66</v>
      </c>
      <c r="C26" s="39">
        <v>5863885</v>
      </c>
      <c r="D26" s="39">
        <v>4835762</v>
      </c>
      <c r="E26" s="39">
        <v>4251304.45</v>
      </c>
      <c r="F26" s="40">
        <v>2272232.21</v>
      </c>
      <c r="G26" s="32">
        <f>SUM(B23:B25)</f>
        <v>6423100</v>
      </c>
    </row>
    <row r="27" spans="1:10" x14ac:dyDescent="0.25">
      <c r="A27" s="44" t="s">
        <v>101</v>
      </c>
      <c r="B27" s="39">
        <f t="shared" si="0"/>
        <v>6701407.6600000001</v>
      </c>
      <c r="C27" s="39">
        <v>2329200</v>
      </c>
      <c r="D27" s="39">
        <v>1897700</v>
      </c>
      <c r="E27" s="39">
        <v>1473400</v>
      </c>
      <c r="F27" s="40">
        <v>1001107.66</v>
      </c>
    </row>
    <row r="28" spans="1:10" x14ac:dyDescent="0.25">
      <c r="A28" s="44" t="s">
        <v>102</v>
      </c>
      <c r="B28" s="39">
        <f t="shared" si="0"/>
        <v>6341481.6799999997</v>
      </c>
      <c r="C28" s="39">
        <v>2210515</v>
      </c>
      <c r="D28" s="39">
        <v>1953985</v>
      </c>
      <c r="E28" s="39">
        <v>1394020</v>
      </c>
      <c r="F28" s="40">
        <v>782961.68</v>
      </c>
    </row>
    <row r="29" spans="1:10" x14ac:dyDescent="0.25">
      <c r="A29" s="44" t="s">
        <v>103</v>
      </c>
      <c r="B29" s="39">
        <f t="shared" si="0"/>
        <v>3562177</v>
      </c>
      <c r="C29" s="39">
        <v>1372000</v>
      </c>
      <c r="D29" s="39">
        <v>1065070</v>
      </c>
      <c r="E29" s="39">
        <v>693050</v>
      </c>
      <c r="F29" s="40">
        <v>432057</v>
      </c>
    </row>
    <row r="30" spans="1:10" x14ac:dyDescent="0.25">
      <c r="A30" s="44" t="s">
        <v>104</v>
      </c>
      <c r="B30" s="39">
        <f t="shared" si="0"/>
        <v>3159700</v>
      </c>
      <c r="C30" s="39">
        <v>1011600</v>
      </c>
      <c r="D30" s="39">
        <v>873500</v>
      </c>
      <c r="E30" s="39">
        <v>1048700</v>
      </c>
      <c r="F30" s="40">
        <v>225900</v>
      </c>
    </row>
    <row r="31" spans="1:10" x14ac:dyDescent="0.25">
      <c r="A31" s="44" t="s">
        <v>105</v>
      </c>
      <c r="B31" s="39">
        <f t="shared" si="0"/>
        <v>4172771</v>
      </c>
      <c r="C31" s="39">
        <v>1336700</v>
      </c>
      <c r="D31" s="39">
        <v>1219271</v>
      </c>
      <c r="E31" s="39">
        <v>997508</v>
      </c>
      <c r="F31" s="40">
        <v>619292</v>
      </c>
    </row>
    <row r="32" spans="1:10" ht="34.5" customHeight="1" x14ac:dyDescent="0.25">
      <c r="A32" s="44" t="s">
        <v>106</v>
      </c>
      <c r="B32" s="39">
        <f t="shared" si="0"/>
        <v>556900</v>
      </c>
      <c r="C32" s="39">
        <v>180950</v>
      </c>
      <c r="D32" s="39">
        <v>156100</v>
      </c>
      <c r="E32" s="39">
        <v>155450</v>
      </c>
      <c r="F32" s="40">
        <v>64400</v>
      </c>
    </row>
    <row r="33" spans="1:6" x14ac:dyDescent="0.25">
      <c r="A33" s="44" t="s">
        <v>107</v>
      </c>
      <c r="B33" s="39">
        <f t="shared" si="0"/>
        <v>2444942.31</v>
      </c>
      <c r="C33" s="39">
        <v>917450</v>
      </c>
      <c r="D33" s="39">
        <v>725500</v>
      </c>
      <c r="E33" s="39">
        <v>630730</v>
      </c>
      <c r="F33" s="40">
        <v>171262.31</v>
      </c>
    </row>
    <row r="34" spans="1:6" x14ac:dyDescent="0.25">
      <c r="A34" s="44" t="s">
        <v>108</v>
      </c>
      <c r="B34" s="39">
        <f t="shared" si="0"/>
        <v>2090951.69</v>
      </c>
      <c r="C34" s="39">
        <v>753600</v>
      </c>
      <c r="D34" s="39">
        <v>665150</v>
      </c>
      <c r="E34" s="39">
        <v>542833.81000000006</v>
      </c>
      <c r="F34" s="40">
        <v>129367.88</v>
      </c>
    </row>
    <row r="35" spans="1:6" x14ac:dyDescent="0.25">
      <c r="A35" s="44" t="s">
        <v>109</v>
      </c>
      <c r="B35" s="39">
        <f t="shared" si="0"/>
        <v>4291577.74</v>
      </c>
      <c r="C35" s="39">
        <v>1303700</v>
      </c>
      <c r="D35" s="39">
        <v>1532380</v>
      </c>
      <c r="E35" s="39">
        <v>1335730</v>
      </c>
      <c r="F35" s="40">
        <v>119767.74</v>
      </c>
    </row>
    <row r="36" spans="1:6" x14ac:dyDescent="0.25">
      <c r="A36" s="44" t="s">
        <v>110</v>
      </c>
      <c r="B36" s="39">
        <f t="shared" si="0"/>
        <v>983672.37</v>
      </c>
      <c r="C36" s="39">
        <v>310200</v>
      </c>
      <c r="D36" s="39">
        <v>292950</v>
      </c>
      <c r="E36" s="39">
        <v>427670.51</v>
      </c>
      <c r="F36" s="40">
        <v>-47148.14</v>
      </c>
    </row>
    <row r="37" spans="1:6" ht="26.25" x14ac:dyDescent="0.25">
      <c r="A37" s="44" t="s">
        <v>111</v>
      </c>
      <c r="B37" s="39">
        <f t="shared" si="0"/>
        <v>7748423.2899999991</v>
      </c>
      <c r="C37" s="39">
        <v>2439870</v>
      </c>
      <c r="D37" s="39">
        <v>2599576</v>
      </c>
      <c r="E37" s="39">
        <v>2030333.6</v>
      </c>
      <c r="F37" s="40">
        <v>678643.69</v>
      </c>
    </row>
    <row r="38" spans="1:6" hidden="1" x14ac:dyDescent="0.25">
      <c r="A38" s="44" t="s">
        <v>112</v>
      </c>
      <c r="B38" s="39">
        <f t="shared" si="0"/>
        <v>0</v>
      </c>
      <c r="C38" s="39"/>
      <c r="D38" s="39"/>
      <c r="E38" s="39"/>
      <c r="F38" s="40"/>
    </row>
    <row r="39" spans="1:6" x14ac:dyDescent="0.25">
      <c r="A39" s="44" t="s">
        <v>113</v>
      </c>
      <c r="B39" s="39">
        <f t="shared" si="0"/>
        <v>2529048.94</v>
      </c>
      <c r="C39" s="39">
        <v>758478</v>
      </c>
      <c r="D39" s="39">
        <v>900542</v>
      </c>
      <c r="E39" s="39">
        <v>797180</v>
      </c>
      <c r="F39" s="40">
        <v>72848.94</v>
      </c>
    </row>
    <row r="40" spans="1:6" x14ac:dyDescent="0.25">
      <c r="A40" s="44" t="s">
        <v>114</v>
      </c>
      <c r="B40" s="39">
        <f t="shared" si="0"/>
        <v>779001.51</v>
      </c>
      <c r="C40" s="39">
        <v>251600</v>
      </c>
      <c r="D40" s="39">
        <v>215705</v>
      </c>
      <c r="E40" s="39">
        <v>266100</v>
      </c>
      <c r="F40" s="40">
        <v>45596.51</v>
      </c>
    </row>
    <row r="41" spans="1:6" x14ac:dyDescent="0.25">
      <c r="A41" s="44" t="s">
        <v>115</v>
      </c>
      <c r="B41" s="39">
        <f t="shared" si="0"/>
        <v>8141468.7800000003</v>
      </c>
      <c r="C41" s="39">
        <v>2520310</v>
      </c>
      <c r="D41" s="39">
        <v>2815230</v>
      </c>
      <c r="E41" s="39">
        <v>2240220</v>
      </c>
      <c r="F41" s="40">
        <v>565708.78</v>
      </c>
    </row>
    <row r="42" spans="1:6" x14ac:dyDescent="0.25">
      <c r="A42" s="44" t="s">
        <v>116</v>
      </c>
      <c r="B42" s="39">
        <f t="shared" si="0"/>
        <v>29073744.719999999</v>
      </c>
      <c r="C42" s="39">
        <v>9343691</v>
      </c>
      <c r="D42" s="39">
        <v>9461056</v>
      </c>
      <c r="E42" s="39">
        <v>5845262.1799999997</v>
      </c>
      <c r="F42" s="40">
        <v>4423735.54</v>
      </c>
    </row>
    <row r="43" spans="1:6" x14ac:dyDescent="0.25">
      <c r="A43" s="44" t="s">
        <v>117</v>
      </c>
      <c r="B43" s="39">
        <f t="shared" si="0"/>
        <v>17063844.649999999</v>
      </c>
      <c r="C43" s="39">
        <v>4350565</v>
      </c>
      <c r="D43" s="39">
        <v>6669050</v>
      </c>
      <c r="E43" s="39">
        <v>3522361.82</v>
      </c>
      <c r="F43" s="40">
        <v>2521867.83</v>
      </c>
    </row>
    <row r="44" spans="1:6" ht="26.25" x14ac:dyDescent="0.25">
      <c r="A44" s="44" t="s">
        <v>118</v>
      </c>
      <c r="B44" s="39">
        <f t="shared" si="0"/>
        <v>1661000</v>
      </c>
      <c r="C44" s="39">
        <v>407089</v>
      </c>
      <c r="D44" s="39">
        <v>458350</v>
      </c>
      <c r="E44" s="39">
        <v>446461</v>
      </c>
      <c r="F44" s="40">
        <v>349100</v>
      </c>
    </row>
    <row r="45" spans="1:6" ht="26.25" x14ac:dyDescent="0.25">
      <c r="A45" s="44" t="s">
        <v>119</v>
      </c>
      <c r="B45" s="39">
        <f t="shared" si="0"/>
        <v>48240084.82</v>
      </c>
      <c r="C45" s="39">
        <v>3602148</v>
      </c>
      <c r="D45" s="39">
        <v>1166500</v>
      </c>
      <c r="E45" s="39">
        <v>28220473.32</v>
      </c>
      <c r="F45" s="40">
        <v>15250963.5</v>
      </c>
    </row>
    <row r="46" spans="1:6" x14ac:dyDescent="0.25">
      <c r="A46" s="44" t="s">
        <v>120</v>
      </c>
      <c r="B46" s="39">
        <f t="shared" si="0"/>
        <v>16201478.5</v>
      </c>
      <c r="C46" s="39">
        <v>5482325</v>
      </c>
      <c r="D46" s="39">
        <v>3193902</v>
      </c>
      <c r="E46" s="39">
        <v>6694062</v>
      </c>
      <c r="F46" s="40">
        <v>831189.5</v>
      </c>
    </row>
    <row r="47" spans="1:6" ht="27" thickBot="1" x14ac:dyDescent="0.3">
      <c r="A47" s="45" t="s">
        <v>121</v>
      </c>
      <c r="B47" s="39">
        <f t="shared" si="0"/>
        <v>12863500</v>
      </c>
      <c r="C47" s="39">
        <v>4408530</v>
      </c>
      <c r="D47" s="39">
        <v>3249650</v>
      </c>
      <c r="E47" s="39">
        <v>3044450</v>
      </c>
      <c r="F47" s="40">
        <v>2160870</v>
      </c>
    </row>
    <row r="49" spans="2:6" x14ac:dyDescent="0.25">
      <c r="B49" s="32"/>
      <c r="C49" s="32"/>
      <c r="D49" s="32"/>
      <c r="E49" s="32"/>
    </row>
    <row r="50" spans="2:6" x14ac:dyDescent="0.25">
      <c r="C50" s="106"/>
      <c r="D50" s="106"/>
      <c r="E50" s="106"/>
      <c r="F50" s="106"/>
    </row>
    <row r="51" spans="2:6" x14ac:dyDescent="0.25">
      <c r="C51" s="32"/>
      <c r="D51" s="32"/>
      <c r="E51" s="32"/>
      <c r="F51" s="32"/>
    </row>
    <row r="52" spans="2:6" x14ac:dyDescent="0.25">
      <c r="C52" s="32"/>
      <c r="D52" s="32"/>
      <c r="E52" s="32"/>
      <c r="F52" s="32"/>
    </row>
  </sheetData>
  <mergeCells count="6">
    <mergeCell ref="A12:A13"/>
    <mergeCell ref="B12:B13"/>
    <mergeCell ref="C12:F12"/>
    <mergeCell ref="A7:F7"/>
    <mergeCell ref="A8:F8"/>
    <mergeCell ref="A9:F9"/>
  </mergeCells>
  <phoneticPr fontId="0" type="noConversion"/>
  <pageMargins left="0.51181102362204722" right="0" top="0.74803149606299213" bottom="0.74803149606299213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прил.1 дох.и расх.по КОСГУ</vt:lpstr>
      <vt:lpstr>прил.2 дох.</vt:lpstr>
      <vt:lpstr>прил.3 источн</vt:lpstr>
      <vt:lpstr>прил.4 по учр.</vt:lpstr>
      <vt:lpstr>'прил.1 дох.и расх.по КОСГУ'!Область_печати</vt:lpstr>
      <vt:lpstr>'прил.4 по учр.'!Область_печати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2015-04-22T07:47:01Z</cp:lastPrinted>
  <dcterms:created xsi:type="dcterms:W3CDTF">2014-04-16T12:15:41Z</dcterms:created>
  <dcterms:modified xsi:type="dcterms:W3CDTF">2016-01-29T06:31:15Z</dcterms:modified>
</cp:coreProperties>
</file>